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3011416\Desktop\"/>
    </mc:Choice>
  </mc:AlternateContent>
  <xr:revisionPtr revIDLastSave="0" documentId="13_ncr:1_{8A8C14D4-D413-4A65-B2FF-0B47D46B29D5}" xr6:coauthVersionLast="47" xr6:coauthVersionMax="47" xr10:uidLastSave="{00000000-0000-0000-0000-000000000000}"/>
  <bookViews>
    <workbookView xWindow="-110" yWindow="-110" windowWidth="19420" windowHeight="10300" xr2:uid="{F3C573AD-456A-4E28-9D1D-D73151D1A770}"/>
  </bookViews>
  <sheets>
    <sheet name="Taul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9" i="1" l="1"/>
  <c r="C22" i="1"/>
  <c r="B164" i="1"/>
  <c r="B153" i="1"/>
  <c r="B156" i="1" s="1"/>
  <c r="B142" i="1"/>
  <c r="G137" i="1"/>
  <c r="B131" i="1"/>
  <c r="B132" i="1" s="1"/>
  <c r="B120" i="1"/>
  <c r="B122" i="1" s="1"/>
  <c r="C117" i="1"/>
  <c r="G115" i="1"/>
  <c r="B109" i="1"/>
  <c r="B111" i="1" s="1"/>
  <c r="C106" i="1"/>
  <c r="G104" i="1"/>
  <c r="B98" i="1"/>
  <c r="B99" i="1" s="1"/>
  <c r="C95" i="1"/>
  <c r="G93" i="1"/>
  <c r="G91" i="1"/>
  <c r="A91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S86" i="1"/>
  <c r="S168" i="1" s="1"/>
  <c r="R86" i="1"/>
  <c r="R168" i="1" s="1"/>
  <c r="Q86" i="1"/>
  <c r="Q168" i="1" s="1"/>
  <c r="P86" i="1"/>
  <c r="P168" i="1" s="1"/>
  <c r="O86" i="1"/>
  <c r="O168" i="1" s="1"/>
  <c r="N86" i="1"/>
  <c r="N168" i="1" s="1"/>
  <c r="M86" i="1"/>
  <c r="M168" i="1" s="1"/>
  <c r="L86" i="1"/>
  <c r="L168" i="1" s="1"/>
  <c r="K86" i="1"/>
  <c r="K168" i="1" s="1"/>
  <c r="J86" i="1"/>
  <c r="J168" i="1" s="1"/>
  <c r="I86" i="1"/>
  <c r="I168" i="1" s="1"/>
  <c r="H86" i="1"/>
  <c r="H168" i="1" s="1"/>
  <c r="G86" i="1"/>
  <c r="G168" i="1" s="1"/>
  <c r="F86" i="1"/>
  <c r="F168" i="1" s="1"/>
  <c r="E86" i="1"/>
  <c r="E168" i="1" s="1"/>
  <c r="D86" i="1"/>
  <c r="D168" i="1" s="1"/>
  <c r="C86" i="1"/>
  <c r="C168" i="1" s="1"/>
  <c r="S85" i="1"/>
  <c r="S157" i="1" s="1"/>
  <c r="R85" i="1"/>
  <c r="R157" i="1" s="1"/>
  <c r="Q85" i="1"/>
  <c r="Q157" i="1" s="1"/>
  <c r="P85" i="1"/>
  <c r="P157" i="1" s="1"/>
  <c r="O85" i="1"/>
  <c r="O157" i="1" s="1"/>
  <c r="N85" i="1"/>
  <c r="N157" i="1" s="1"/>
  <c r="M85" i="1"/>
  <c r="M157" i="1" s="1"/>
  <c r="L85" i="1"/>
  <c r="L157" i="1" s="1"/>
  <c r="K85" i="1"/>
  <c r="K157" i="1" s="1"/>
  <c r="J85" i="1"/>
  <c r="J157" i="1" s="1"/>
  <c r="I85" i="1"/>
  <c r="I157" i="1" s="1"/>
  <c r="H85" i="1"/>
  <c r="H157" i="1" s="1"/>
  <c r="G85" i="1"/>
  <c r="F85" i="1"/>
  <c r="F157" i="1" s="1"/>
  <c r="E85" i="1"/>
  <c r="E157" i="1" s="1"/>
  <c r="D85" i="1"/>
  <c r="D157" i="1" s="1"/>
  <c r="C85" i="1"/>
  <c r="C157" i="1" s="1"/>
  <c r="S84" i="1"/>
  <c r="S146" i="1" s="1"/>
  <c r="R84" i="1"/>
  <c r="R146" i="1" s="1"/>
  <c r="Q84" i="1"/>
  <c r="Q146" i="1" s="1"/>
  <c r="P84" i="1"/>
  <c r="P146" i="1" s="1"/>
  <c r="O84" i="1"/>
  <c r="O146" i="1" s="1"/>
  <c r="N84" i="1"/>
  <c r="N146" i="1" s="1"/>
  <c r="M84" i="1"/>
  <c r="M146" i="1" s="1"/>
  <c r="L84" i="1"/>
  <c r="L146" i="1" s="1"/>
  <c r="K84" i="1"/>
  <c r="K146" i="1" s="1"/>
  <c r="J84" i="1"/>
  <c r="J146" i="1" s="1"/>
  <c r="I84" i="1"/>
  <c r="I146" i="1" s="1"/>
  <c r="H84" i="1"/>
  <c r="H146" i="1" s="1"/>
  <c r="G84" i="1"/>
  <c r="G146" i="1" s="1"/>
  <c r="F84" i="1"/>
  <c r="F146" i="1" s="1"/>
  <c r="E84" i="1"/>
  <c r="E146" i="1" s="1"/>
  <c r="D84" i="1"/>
  <c r="D146" i="1" s="1"/>
  <c r="C84" i="1"/>
  <c r="C146" i="1" s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S82" i="1"/>
  <c r="S135" i="1" s="1"/>
  <c r="R82" i="1"/>
  <c r="R135" i="1" s="1"/>
  <c r="Q82" i="1"/>
  <c r="Q135" i="1" s="1"/>
  <c r="P82" i="1"/>
  <c r="P135" i="1" s="1"/>
  <c r="O82" i="1"/>
  <c r="O135" i="1" s="1"/>
  <c r="N82" i="1"/>
  <c r="N135" i="1" s="1"/>
  <c r="M82" i="1"/>
  <c r="M135" i="1" s="1"/>
  <c r="L82" i="1"/>
  <c r="L135" i="1" s="1"/>
  <c r="K82" i="1"/>
  <c r="K135" i="1" s="1"/>
  <c r="J82" i="1"/>
  <c r="J135" i="1" s="1"/>
  <c r="I82" i="1"/>
  <c r="I135" i="1" s="1"/>
  <c r="H82" i="1"/>
  <c r="H135" i="1" s="1"/>
  <c r="G82" i="1"/>
  <c r="G135" i="1" s="1"/>
  <c r="F82" i="1"/>
  <c r="F135" i="1" s="1"/>
  <c r="E82" i="1"/>
  <c r="E135" i="1" s="1"/>
  <c r="D82" i="1"/>
  <c r="D135" i="1" s="1"/>
  <c r="C82" i="1"/>
  <c r="C135" i="1" s="1"/>
  <c r="S81" i="1"/>
  <c r="S124" i="1" s="1"/>
  <c r="R81" i="1"/>
  <c r="R124" i="1" s="1"/>
  <c r="Q81" i="1"/>
  <c r="Q124" i="1" s="1"/>
  <c r="P81" i="1"/>
  <c r="P124" i="1" s="1"/>
  <c r="O81" i="1"/>
  <c r="O124" i="1" s="1"/>
  <c r="N81" i="1"/>
  <c r="N124" i="1" s="1"/>
  <c r="M81" i="1"/>
  <c r="M124" i="1" s="1"/>
  <c r="L81" i="1"/>
  <c r="L124" i="1" s="1"/>
  <c r="K81" i="1"/>
  <c r="K124" i="1" s="1"/>
  <c r="J81" i="1"/>
  <c r="J124" i="1" s="1"/>
  <c r="I81" i="1"/>
  <c r="I124" i="1" s="1"/>
  <c r="H81" i="1"/>
  <c r="H124" i="1" s="1"/>
  <c r="G81" i="1"/>
  <c r="F81" i="1"/>
  <c r="F124" i="1" s="1"/>
  <c r="E81" i="1"/>
  <c r="E124" i="1" s="1"/>
  <c r="D81" i="1"/>
  <c r="D124" i="1" s="1"/>
  <c r="C81" i="1"/>
  <c r="C124" i="1" s="1"/>
  <c r="S80" i="1"/>
  <c r="S113" i="1" s="1"/>
  <c r="R80" i="1"/>
  <c r="R113" i="1" s="1"/>
  <c r="Q80" i="1"/>
  <c r="Q113" i="1" s="1"/>
  <c r="P80" i="1"/>
  <c r="P113" i="1" s="1"/>
  <c r="O80" i="1"/>
  <c r="O113" i="1" s="1"/>
  <c r="N80" i="1"/>
  <c r="N113" i="1" s="1"/>
  <c r="M80" i="1"/>
  <c r="M113" i="1" s="1"/>
  <c r="L80" i="1"/>
  <c r="L113" i="1" s="1"/>
  <c r="K80" i="1"/>
  <c r="K113" i="1" s="1"/>
  <c r="J80" i="1"/>
  <c r="J113" i="1" s="1"/>
  <c r="I80" i="1"/>
  <c r="I113" i="1" s="1"/>
  <c r="H80" i="1"/>
  <c r="H113" i="1" s="1"/>
  <c r="G80" i="1"/>
  <c r="F80" i="1"/>
  <c r="F113" i="1" s="1"/>
  <c r="E80" i="1"/>
  <c r="E113" i="1" s="1"/>
  <c r="D80" i="1"/>
  <c r="D113" i="1" s="1"/>
  <c r="C80" i="1"/>
  <c r="C113" i="1" s="1"/>
  <c r="S79" i="1"/>
  <c r="S102" i="1" s="1"/>
  <c r="R79" i="1"/>
  <c r="R102" i="1" s="1"/>
  <c r="Q79" i="1"/>
  <c r="Q102" i="1" s="1"/>
  <c r="P79" i="1"/>
  <c r="P102" i="1" s="1"/>
  <c r="O79" i="1"/>
  <c r="O102" i="1" s="1"/>
  <c r="N79" i="1"/>
  <c r="N102" i="1" s="1"/>
  <c r="M79" i="1"/>
  <c r="M102" i="1" s="1"/>
  <c r="L79" i="1"/>
  <c r="L102" i="1" s="1"/>
  <c r="K79" i="1"/>
  <c r="K102" i="1" s="1"/>
  <c r="J79" i="1"/>
  <c r="J102" i="1" s="1"/>
  <c r="I79" i="1"/>
  <c r="I102" i="1" s="1"/>
  <c r="H79" i="1"/>
  <c r="H102" i="1" s="1"/>
  <c r="G79" i="1"/>
  <c r="G102" i="1" s="1"/>
  <c r="F79" i="1"/>
  <c r="F102" i="1" s="1"/>
  <c r="E79" i="1"/>
  <c r="E102" i="1" s="1"/>
  <c r="D79" i="1"/>
  <c r="D102" i="1" s="1"/>
  <c r="C79" i="1"/>
  <c r="C102" i="1" s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C75" i="1"/>
  <c r="G73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S68" i="1"/>
  <c r="S167" i="1" s="1"/>
  <c r="R68" i="1"/>
  <c r="R167" i="1" s="1"/>
  <c r="Q68" i="1"/>
  <c r="Q167" i="1" s="1"/>
  <c r="P68" i="1"/>
  <c r="P167" i="1" s="1"/>
  <c r="O68" i="1"/>
  <c r="O167" i="1" s="1"/>
  <c r="N68" i="1"/>
  <c r="N167" i="1" s="1"/>
  <c r="M68" i="1"/>
  <c r="M167" i="1" s="1"/>
  <c r="L68" i="1"/>
  <c r="L167" i="1" s="1"/>
  <c r="K68" i="1"/>
  <c r="K167" i="1" s="1"/>
  <c r="J68" i="1"/>
  <c r="J167" i="1" s="1"/>
  <c r="I68" i="1"/>
  <c r="I167" i="1" s="1"/>
  <c r="H68" i="1"/>
  <c r="H167" i="1" s="1"/>
  <c r="G68" i="1"/>
  <c r="F68" i="1"/>
  <c r="F167" i="1" s="1"/>
  <c r="E68" i="1"/>
  <c r="E167" i="1" s="1"/>
  <c r="D68" i="1"/>
  <c r="D167" i="1" s="1"/>
  <c r="C68" i="1"/>
  <c r="C167" i="1" s="1"/>
  <c r="S67" i="1"/>
  <c r="S156" i="1" s="1"/>
  <c r="R67" i="1"/>
  <c r="R156" i="1" s="1"/>
  <c r="Q67" i="1"/>
  <c r="Q156" i="1" s="1"/>
  <c r="P67" i="1"/>
  <c r="P156" i="1" s="1"/>
  <c r="O67" i="1"/>
  <c r="O156" i="1" s="1"/>
  <c r="N67" i="1"/>
  <c r="N156" i="1" s="1"/>
  <c r="M67" i="1"/>
  <c r="M156" i="1" s="1"/>
  <c r="L67" i="1"/>
  <c r="L156" i="1" s="1"/>
  <c r="K67" i="1"/>
  <c r="K156" i="1" s="1"/>
  <c r="J67" i="1"/>
  <c r="J156" i="1" s="1"/>
  <c r="I67" i="1"/>
  <c r="I156" i="1" s="1"/>
  <c r="H67" i="1"/>
  <c r="H156" i="1" s="1"/>
  <c r="G67" i="1"/>
  <c r="G156" i="1" s="1"/>
  <c r="F67" i="1"/>
  <c r="F156" i="1" s="1"/>
  <c r="E67" i="1"/>
  <c r="E156" i="1" s="1"/>
  <c r="D67" i="1"/>
  <c r="D156" i="1" s="1"/>
  <c r="C67" i="1"/>
  <c r="C156" i="1" s="1"/>
  <c r="S66" i="1"/>
  <c r="S145" i="1" s="1"/>
  <c r="R66" i="1"/>
  <c r="R145" i="1" s="1"/>
  <c r="Q66" i="1"/>
  <c r="Q145" i="1" s="1"/>
  <c r="P66" i="1"/>
  <c r="P145" i="1" s="1"/>
  <c r="O66" i="1"/>
  <c r="O145" i="1" s="1"/>
  <c r="N66" i="1"/>
  <c r="N145" i="1" s="1"/>
  <c r="M66" i="1"/>
  <c r="M145" i="1" s="1"/>
  <c r="L66" i="1"/>
  <c r="L145" i="1" s="1"/>
  <c r="K66" i="1"/>
  <c r="K145" i="1" s="1"/>
  <c r="J66" i="1"/>
  <c r="J145" i="1" s="1"/>
  <c r="I66" i="1"/>
  <c r="I145" i="1" s="1"/>
  <c r="H66" i="1"/>
  <c r="G66" i="1"/>
  <c r="G145" i="1" s="1"/>
  <c r="F66" i="1"/>
  <c r="F145" i="1" s="1"/>
  <c r="E66" i="1"/>
  <c r="E145" i="1" s="1"/>
  <c r="D66" i="1"/>
  <c r="D145" i="1" s="1"/>
  <c r="C66" i="1"/>
  <c r="C145" i="1" s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S64" i="1"/>
  <c r="S134" i="1" s="1"/>
  <c r="R64" i="1"/>
  <c r="R134" i="1" s="1"/>
  <c r="Q64" i="1"/>
  <c r="Q134" i="1" s="1"/>
  <c r="P64" i="1"/>
  <c r="P134" i="1" s="1"/>
  <c r="O64" i="1"/>
  <c r="O134" i="1" s="1"/>
  <c r="N64" i="1"/>
  <c r="N134" i="1" s="1"/>
  <c r="M64" i="1"/>
  <c r="M134" i="1" s="1"/>
  <c r="L64" i="1"/>
  <c r="L134" i="1" s="1"/>
  <c r="K64" i="1"/>
  <c r="K134" i="1" s="1"/>
  <c r="J64" i="1"/>
  <c r="J134" i="1" s="1"/>
  <c r="I64" i="1"/>
  <c r="I134" i="1" s="1"/>
  <c r="H64" i="1"/>
  <c r="H134" i="1" s="1"/>
  <c r="G64" i="1"/>
  <c r="F64" i="1"/>
  <c r="F134" i="1" s="1"/>
  <c r="E64" i="1"/>
  <c r="E134" i="1" s="1"/>
  <c r="D64" i="1"/>
  <c r="D134" i="1" s="1"/>
  <c r="C64" i="1"/>
  <c r="C134" i="1" s="1"/>
  <c r="S63" i="1"/>
  <c r="S123" i="1" s="1"/>
  <c r="R63" i="1"/>
  <c r="R123" i="1" s="1"/>
  <c r="Q63" i="1"/>
  <c r="Q123" i="1" s="1"/>
  <c r="P63" i="1"/>
  <c r="P123" i="1" s="1"/>
  <c r="O63" i="1"/>
  <c r="O123" i="1" s="1"/>
  <c r="N63" i="1"/>
  <c r="N123" i="1" s="1"/>
  <c r="M63" i="1"/>
  <c r="M123" i="1" s="1"/>
  <c r="L63" i="1"/>
  <c r="L123" i="1" s="1"/>
  <c r="K63" i="1"/>
  <c r="K123" i="1" s="1"/>
  <c r="J63" i="1"/>
  <c r="J123" i="1" s="1"/>
  <c r="I63" i="1"/>
  <c r="I123" i="1" s="1"/>
  <c r="H63" i="1"/>
  <c r="H123" i="1" s="1"/>
  <c r="G63" i="1"/>
  <c r="G123" i="1" s="1"/>
  <c r="F63" i="1"/>
  <c r="F123" i="1" s="1"/>
  <c r="E63" i="1"/>
  <c r="E123" i="1" s="1"/>
  <c r="D63" i="1"/>
  <c r="D123" i="1" s="1"/>
  <c r="C63" i="1"/>
  <c r="C123" i="1" s="1"/>
  <c r="S62" i="1"/>
  <c r="S112" i="1" s="1"/>
  <c r="R62" i="1"/>
  <c r="R112" i="1" s="1"/>
  <c r="Q62" i="1"/>
  <c r="Q112" i="1" s="1"/>
  <c r="P62" i="1"/>
  <c r="P112" i="1" s="1"/>
  <c r="O62" i="1"/>
  <c r="O112" i="1" s="1"/>
  <c r="N62" i="1"/>
  <c r="N112" i="1" s="1"/>
  <c r="M62" i="1"/>
  <c r="M112" i="1" s="1"/>
  <c r="L62" i="1"/>
  <c r="L112" i="1" s="1"/>
  <c r="K62" i="1"/>
  <c r="K112" i="1" s="1"/>
  <c r="J62" i="1"/>
  <c r="J112" i="1" s="1"/>
  <c r="I62" i="1"/>
  <c r="I112" i="1" s="1"/>
  <c r="H62" i="1"/>
  <c r="H112" i="1" s="1"/>
  <c r="G62" i="1"/>
  <c r="G112" i="1" s="1"/>
  <c r="F62" i="1"/>
  <c r="F112" i="1" s="1"/>
  <c r="E62" i="1"/>
  <c r="E112" i="1" s="1"/>
  <c r="D62" i="1"/>
  <c r="D112" i="1" s="1"/>
  <c r="C62" i="1"/>
  <c r="C112" i="1" s="1"/>
  <c r="S61" i="1"/>
  <c r="S101" i="1" s="1"/>
  <c r="R61" i="1"/>
  <c r="R101" i="1" s="1"/>
  <c r="Q61" i="1"/>
  <c r="Q101" i="1" s="1"/>
  <c r="P61" i="1"/>
  <c r="P101" i="1" s="1"/>
  <c r="O61" i="1"/>
  <c r="O101" i="1" s="1"/>
  <c r="N61" i="1"/>
  <c r="N101" i="1" s="1"/>
  <c r="M61" i="1"/>
  <c r="M101" i="1" s="1"/>
  <c r="L61" i="1"/>
  <c r="L101" i="1" s="1"/>
  <c r="K61" i="1"/>
  <c r="K101" i="1" s="1"/>
  <c r="J61" i="1"/>
  <c r="J101" i="1" s="1"/>
  <c r="I61" i="1"/>
  <c r="I101" i="1" s="1"/>
  <c r="H61" i="1"/>
  <c r="H101" i="1" s="1"/>
  <c r="G61" i="1"/>
  <c r="F61" i="1"/>
  <c r="F101" i="1" s="1"/>
  <c r="E61" i="1"/>
  <c r="E101" i="1" s="1"/>
  <c r="D61" i="1"/>
  <c r="D101" i="1" s="1"/>
  <c r="C61" i="1"/>
  <c r="C101" i="1" s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C57" i="1"/>
  <c r="G56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S50" i="1"/>
  <c r="S166" i="1" s="1"/>
  <c r="R50" i="1"/>
  <c r="R166" i="1" s="1"/>
  <c r="Q50" i="1"/>
  <c r="Q166" i="1" s="1"/>
  <c r="P50" i="1"/>
  <c r="P166" i="1" s="1"/>
  <c r="O50" i="1"/>
  <c r="O166" i="1" s="1"/>
  <c r="N50" i="1"/>
  <c r="N166" i="1" s="1"/>
  <c r="M50" i="1"/>
  <c r="M166" i="1" s="1"/>
  <c r="L50" i="1"/>
  <c r="L166" i="1" s="1"/>
  <c r="K50" i="1"/>
  <c r="K166" i="1" s="1"/>
  <c r="J50" i="1"/>
  <c r="J166" i="1" s="1"/>
  <c r="I50" i="1"/>
  <c r="I166" i="1" s="1"/>
  <c r="H50" i="1"/>
  <c r="H166" i="1" s="1"/>
  <c r="G50" i="1"/>
  <c r="G166" i="1" s="1"/>
  <c r="F50" i="1"/>
  <c r="F166" i="1" s="1"/>
  <c r="E50" i="1"/>
  <c r="E166" i="1" s="1"/>
  <c r="D50" i="1"/>
  <c r="D166" i="1" s="1"/>
  <c r="C50" i="1"/>
  <c r="C166" i="1" s="1"/>
  <c r="S49" i="1"/>
  <c r="S155" i="1" s="1"/>
  <c r="R49" i="1"/>
  <c r="R155" i="1" s="1"/>
  <c r="Q49" i="1"/>
  <c r="Q155" i="1" s="1"/>
  <c r="P49" i="1"/>
  <c r="P155" i="1" s="1"/>
  <c r="O49" i="1"/>
  <c r="O155" i="1" s="1"/>
  <c r="N49" i="1"/>
  <c r="N155" i="1" s="1"/>
  <c r="M49" i="1"/>
  <c r="M155" i="1" s="1"/>
  <c r="L49" i="1"/>
  <c r="L155" i="1" s="1"/>
  <c r="K49" i="1"/>
  <c r="K155" i="1" s="1"/>
  <c r="J49" i="1"/>
  <c r="J155" i="1" s="1"/>
  <c r="I49" i="1"/>
  <c r="I155" i="1" s="1"/>
  <c r="H49" i="1"/>
  <c r="H155" i="1" s="1"/>
  <c r="G49" i="1"/>
  <c r="F49" i="1"/>
  <c r="F155" i="1" s="1"/>
  <c r="E49" i="1"/>
  <c r="E155" i="1" s="1"/>
  <c r="D49" i="1"/>
  <c r="D155" i="1" s="1"/>
  <c r="C49" i="1"/>
  <c r="C155" i="1" s="1"/>
  <c r="S48" i="1"/>
  <c r="S144" i="1" s="1"/>
  <c r="R48" i="1"/>
  <c r="R144" i="1" s="1"/>
  <c r="Q48" i="1"/>
  <c r="Q144" i="1" s="1"/>
  <c r="P48" i="1"/>
  <c r="P144" i="1" s="1"/>
  <c r="O48" i="1"/>
  <c r="O144" i="1" s="1"/>
  <c r="N48" i="1"/>
  <c r="N144" i="1" s="1"/>
  <c r="M48" i="1"/>
  <c r="M144" i="1" s="1"/>
  <c r="L48" i="1"/>
  <c r="L144" i="1" s="1"/>
  <c r="K48" i="1"/>
  <c r="K144" i="1" s="1"/>
  <c r="J48" i="1"/>
  <c r="J144" i="1" s="1"/>
  <c r="I48" i="1"/>
  <c r="I144" i="1" s="1"/>
  <c r="H48" i="1"/>
  <c r="H144" i="1" s="1"/>
  <c r="G48" i="1"/>
  <c r="G144" i="1" s="1"/>
  <c r="F48" i="1"/>
  <c r="F144" i="1" s="1"/>
  <c r="E48" i="1"/>
  <c r="E144" i="1" s="1"/>
  <c r="D48" i="1"/>
  <c r="D144" i="1" s="1"/>
  <c r="C48" i="1"/>
  <c r="C144" i="1" s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S46" i="1"/>
  <c r="S133" i="1" s="1"/>
  <c r="R46" i="1"/>
  <c r="R133" i="1" s="1"/>
  <c r="Q46" i="1"/>
  <c r="Q133" i="1" s="1"/>
  <c r="P46" i="1"/>
  <c r="P133" i="1" s="1"/>
  <c r="O46" i="1"/>
  <c r="O133" i="1" s="1"/>
  <c r="N46" i="1"/>
  <c r="N133" i="1" s="1"/>
  <c r="M46" i="1"/>
  <c r="M133" i="1" s="1"/>
  <c r="L46" i="1"/>
  <c r="L133" i="1" s="1"/>
  <c r="K46" i="1"/>
  <c r="K133" i="1" s="1"/>
  <c r="J46" i="1"/>
  <c r="J133" i="1" s="1"/>
  <c r="I46" i="1"/>
  <c r="I133" i="1" s="1"/>
  <c r="H46" i="1"/>
  <c r="H133" i="1" s="1"/>
  <c r="G46" i="1"/>
  <c r="F46" i="1"/>
  <c r="F133" i="1" s="1"/>
  <c r="E46" i="1"/>
  <c r="E133" i="1" s="1"/>
  <c r="D46" i="1"/>
  <c r="D133" i="1" s="1"/>
  <c r="C46" i="1"/>
  <c r="C133" i="1" s="1"/>
  <c r="S45" i="1"/>
  <c r="S122" i="1" s="1"/>
  <c r="R45" i="1"/>
  <c r="R122" i="1" s="1"/>
  <c r="Q45" i="1"/>
  <c r="Q122" i="1" s="1"/>
  <c r="P45" i="1"/>
  <c r="P122" i="1" s="1"/>
  <c r="O45" i="1"/>
  <c r="O122" i="1" s="1"/>
  <c r="N45" i="1"/>
  <c r="N122" i="1" s="1"/>
  <c r="M45" i="1"/>
  <c r="M122" i="1" s="1"/>
  <c r="L45" i="1"/>
  <c r="L122" i="1" s="1"/>
  <c r="K45" i="1"/>
  <c r="K122" i="1" s="1"/>
  <c r="J45" i="1"/>
  <c r="J122" i="1" s="1"/>
  <c r="I45" i="1"/>
  <c r="I122" i="1" s="1"/>
  <c r="H45" i="1"/>
  <c r="H122" i="1" s="1"/>
  <c r="G45" i="1"/>
  <c r="G122" i="1" s="1"/>
  <c r="F45" i="1"/>
  <c r="F122" i="1" s="1"/>
  <c r="E45" i="1"/>
  <c r="E122" i="1" s="1"/>
  <c r="D45" i="1"/>
  <c r="D122" i="1" s="1"/>
  <c r="C45" i="1"/>
  <c r="C122" i="1" s="1"/>
  <c r="S44" i="1"/>
  <c r="S111" i="1" s="1"/>
  <c r="R44" i="1"/>
  <c r="R111" i="1" s="1"/>
  <c r="Q44" i="1"/>
  <c r="Q111" i="1" s="1"/>
  <c r="P44" i="1"/>
  <c r="P111" i="1" s="1"/>
  <c r="O44" i="1"/>
  <c r="O111" i="1" s="1"/>
  <c r="N44" i="1"/>
  <c r="N111" i="1" s="1"/>
  <c r="M44" i="1"/>
  <c r="M111" i="1" s="1"/>
  <c r="L44" i="1"/>
  <c r="L111" i="1" s="1"/>
  <c r="K44" i="1"/>
  <c r="K111" i="1" s="1"/>
  <c r="J44" i="1"/>
  <c r="J111" i="1" s="1"/>
  <c r="I44" i="1"/>
  <c r="I111" i="1" s="1"/>
  <c r="H44" i="1"/>
  <c r="G44" i="1"/>
  <c r="G111" i="1" s="1"/>
  <c r="F44" i="1"/>
  <c r="F111" i="1" s="1"/>
  <c r="E44" i="1"/>
  <c r="E111" i="1" s="1"/>
  <c r="D44" i="1"/>
  <c r="D111" i="1" s="1"/>
  <c r="C44" i="1"/>
  <c r="C111" i="1" s="1"/>
  <c r="S43" i="1"/>
  <c r="S100" i="1" s="1"/>
  <c r="R43" i="1"/>
  <c r="R100" i="1" s="1"/>
  <c r="Q43" i="1"/>
  <c r="Q100" i="1" s="1"/>
  <c r="P43" i="1"/>
  <c r="P100" i="1" s="1"/>
  <c r="O43" i="1"/>
  <c r="O100" i="1" s="1"/>
  <c r="N43" i="1"/>
  <c r="N100" i="1" s="1"/>
  <c r="M43" i="1"/>
  <c r="M100" i="1" s="1"/>
  <c r="L43" i="1"/>
  <c r="L100" i="1" s="1"/>
  <c r="K43" i="1"/>
  <c r="K100" i="1" s="1"/>
  <c r="J43" i="1"/>
  <c r="J100" i="1" s="1"/>
  <c r="I43" i="1"/>
  <c r="I100" i="1" s="1"/>
  <c r="H43" i="1"/>
  <c r="H100" i="1" s="1"/>
  <c r="G43" i="1"/>
  <c r="G100" i="1" s="1"/>
  <c r="F43" i="1"/>
  <c r="F100" i="1" s="1"/>
  <c r="E43" i="1"/>
  <c r="E100" i="1" s="1"/>
  <c r="D43" i="1"/>
  <c r="D100" i="1" s="1"/>
  <c r="C43" i="1"/>
  <c r="C100" i="1" s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C39" i="1"/>
  <c r="G38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S33" i="1"/>
  <c r="S165" i="1" s="1"/>
  <c r="R33" i="1"/>
  <c r="R165" i="1" s="1"/>
  <c r="Q33" i="1"/>
  <c r="Q165" i="1" s="1"/>
  <c r="P33" i="1"/>
  <c r="P165" i="1" s="1"/>
  <c r="O33" i="1"/>
  <c r="O165" i="1" s="1"/>
  <c r="N33" i="1"/>
  <c r="N165" i="1" s="1"/>
  <c r="M33" i="1"/>
  <c r="M165" i="1" s="1"/>
  <c r="L33" i="1"/>
  <c r="L165" i="1" s="1"/>
  <c r="K33" i="1"/>
  <c r="K165" i="1" s="1"/>
  <c r="J33" i="1"/>
  <c r="J165" i="1" s="1"/>
  <c r="I33" i="1"/>
  <c r="I165" i="1" s="1"/>
  <c r="H33" i="1"/>
  <c r="H165" i="1" s="1"/>
  <c r="G33" i="1"/>
  <c r="G165" i="1" s="1"/>
  <c r="F33" i="1"/>
  <c r="F165" i="1" s="1"/>
  <c r="E33" i="1"/>
  <c r="E165" i="1" s="1"/>
  <c r="D33" i="1"/>
  <c r="D165" i="1" s="1"/>
  <c r="C33" i="1"/>
  <c r="C165" i="1" s="1"/>
  <c r="S32" i="1"/>
  <c r="S154" i="1" s="1"/>
  <c r="R32" i="1"/>
  <c r="R154" i="1" s="1"/>
  <c r="Q32" i="1"/>
  <c r="Q154" i="1" s="1"/>
  <c r="P32" i="1"/>
  <c r="P154" i="1" s="1"/>
  <c r="O32" i="1"/>
  <c r="O154" i="1" s="1"/>
  <c r="N32" i="1"/>
  <c r="N154" i="1" s="1"/>
  <c r="M32" i="1"/>
  <c r="M154" i="1" s="1"/>
  <c r="L32" i="1"/>
  <c r="L154" i="1" s="1"/>
  <c r="K32" i="1"/>
  <c r="K154" i="1" s="1"/>
  <c r="J32" i="1"/>
  <c r="J154" i="1" s="1"/>
  <c r="I32" i="1"/>
  <c r="I154" i="1" s="1"/>
  <c r="H32" i="1"/>
  <c r="H154" i="1" s="1"/>
  <c r="G32" i="1"/>
  <c r="F32" i="1"/>
  <c r="F154" i="1" s="1"/>
  <c r="E32" i="1"/>
  <c r="E154" i="1" s="1"/>
  <c r="D32" i="1"/>
  <c r="D154" i="1" s="1"/>
  <c r="C32" i="1"/>
  <c r="C154" i="1" s="1"/>
  <c r="S31" i="1"/>
  <c r="S143" i="1" s="1"/>
  <c r="R31" i="1"/>
  <c r="R143" i="1" s="1"/>
  <c r="Q31" i="1"/>
  <c r="Q143" i="1" s="1"/>
  <c r="P31" i="1"/>
  <c r="P143" i="1" s="1"/>
  <c r="O31" i="1"/>
  <c r="O143" i="1" s="1"/>
  <c r="N31" i="1"/>
  <c r="N143" i="1" s="1"/>
  <c r="M31" i="1"/>
  <c r="M143" i="1" s="1"/>
  <c r="L31" i="1"/>
  <c r="L143" i="1" s="1"/>
  <c r="K31" i="1"/>
  <c r="K143" i="1" s="1"/>
  <c r="J31" i="1"/>
  <c r="J143" i="1" s="1"/>
  <c r="I31" i="1"/>
  <c r="I143" i="1" s="1"/>
  <c r="H31" i="1"/>
  <c r="H143" i="1" s="1"/>
  <c r="G31" i="1"/>
  <c r="G143" i="1" s="1"/>
  <c r="F31" i="1"/>
  <c r="F143" i="1" s="1"/>
  <c r="E31" i="1"/>
  <c r="E143" i="1" s="1"/>
  <c r="D31" i="1"/>
  <c r="D143" i="1" s="1"/>
  <c r="C31" i="1"/>
  <c r="C143" i="1" s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S29" i="1"/>
  <c r="S132" i="1" s="1"/>
  <c r="R29" i="1"/>
  <c r="R132" i="1" s="1"/>
  <c r="Q29" i="1"/>
  <c r="Q132" i="1" s="1"/>
  <c r="P29" i="1"/>
  <c r="P132" i="1" s="1"/>
  <c r="O29" i="1"/>
  <c r="O132" i="1" s="1"/>
  <c r="N29" i="1"/>
  <c r="N132" i="1" s="1"/>
  <c r="M29" i="1"/>
  <c r="M132" i="1" s="1"/>
  <c r="L29" i="1"/>
  <c r="L132" i="1" s="1"/>
  <c r="K29" i="1"/>
  <c r="K132" i="1" s="1"/>
  <c r="J29" i="1"/>
  <c r="J132" i="1" s="1"/>
  <c r="I29" i="1"/>
  <c r="I132" i="1" s="1"/>
  <c r="H29" i="1"/>
  <c r="H132" i="1" s="1"/>
  <c r="G29" i="1"/>
  <c r="G132" i="1" s="1"/>
  <c r="F29" i="1"/>
  <c r="F132" i="1" s="1"/>
  <c r="E29" i="1"/>
  <c r="E132" i="1" s="1"/>
  <c r="D29" i="1"/>
  <c r="D132" i="1" s="1"/>
  <c r="C29" i="1"/>
  <c r="C132" i="1" s="1"/>
  <c r="S28" i="1"/>
  <c r="S121" i="1" s="1"/>
  <c r="R28" i="1"/>
  <c r="R121" i="1" s="1"/>
  <c r="Q28" i="1"/>
  <c r="Q121" i="1" s="1"/>
  <c r="P28" i="1"/>
  <c r="P121" i="1" s="1"/>
  <c r="O28" i="1"/>
  <c r="O121" i="1" s="1"/>
  <c r="N28" i="1"/>
  <c r="N121" i="1" s="1"/>
  <c r="M28" i="1"/>
  <c r="M121" i="1" s="1"/>
  <c r="L28" i="1"/>
  <c r="L121" i="1" s="1"/>
  <c r="K28" i="1"/>
  <c r="K121" i="1" s="1"/>
  <c r="J28" i="1"/>
  <c r="J121" i="1" s="1"/>
  <c r="I28" i="1"/>
  <c r="I121" i="1" s="1"/>
  <c r="H28" i="1"/>
  <c r="H121" i="1" s="1"/>
  <c r="G28" i="1"/>
  <c r="G121" i="1" s="1"/>
  <c r="F28" i="1"/>
  <c r="F121" i="1" s="1"/>
  <c r="E28" i="1"/>
  <c r="E121" i="1" s="1"/>
  <c r="D28" i="1"/>
  <c r="D121" i="1" s="1"/>
  <c r="C28" i="1"/>
  <c r="C121" i="1" s="1"/>
  <c r="S27" i="1"/>
  <c r="S110" i="1" s="1"/>
  <c r="R27" i="1"/>
  <c r="R110" i="1" s="1"/>
  <c r="Q27" i="1"/>
  <c r="Q110" i="1" s="1"/>
  <c r="P27" i="1"/>
  <c r="P110" i="1" s="1"/>
  <c r="O27" i="1"/>
  <c r="O110" i="1" s="1"/>
  <c r="N27" i="1"/>
  <c r="N110" i="1" s="1"/>
  <c r="M27" i="1"/>
  <c r="M110" i="1" s="1"/>
  <c r="L27" i="1"/>
  <c r="L110" i="1" s="1"/>
  <c r="K27" i="1"/>
  <c r="K110" i="1" s="1"/>
  <c r="J27" i="1"/>
  <c r="J110" i="1" s="1"/>
  <c r="I27" i="1"/>
  <c r="I110" i="1" s="1"/>
  <c r="H27" i="1"/>
  <c r="G27" i="1"/>
  <c r="G110" i="1" s="1"/>
  <c r="F27" i="1"/>
  <c r="F110" i="1" s="1"/>
  <c r="E27" i="1"/>
  <c r="E110" i="1" s="1"/>
  <c r="D27" i="1"/>
  <c r="D110" i="1" s="1"/>
  <c r="C27" i="1"/>
  <c r="C110" i="1" s="1"/>
  <c r="S26" i="1"/>
  <c r="S99" i="1" s="1"/>
  <c r="R26" i="1"/>
  <c r="R99" i="1" s="1"/>
  <c r="Q26" i="1"/>
  <c r="Q99" i="1" s="1"/>
  <c r="P26" i="1"/>
  <c r="P99" i="1" s="1"/>
  <c r="O26" i="1"/>
  <c r="O99" i="1" s="1"/>
  <c r="N26" i="1"/>
  <c r="N99" i="1" s="1"/>
  <c r="M26" i="1"/>
  <c r="M99" i="1" s="1"/>
  <c r="L26" i="1"/>
  <c r="L99" i="1" s="1"/>
  <c r="K26" i="1"/>
  <c r="K99" i="1" s="1"/>
  <c r="J26" i="1"/>
  <c r="J99" i="1" s="1"/>
  <c r="I26" i="1"/>
  <c r="I99" i="1" s="1"/>
  <c r="H26" i="1"/>
  <c r="H99" i="1" s="1"/>
  <c r="G26" i="1"/>
  <c r="F26" i="1"/>
  <c r="F99" i="1" s="1"/>
  <c r="E26" i="1"/>
  <c r="E99" i="1" s="1"/>
  <c r="D26" i="1"/>
  <c r="D99" i="1" s="1"/>
  <c r="C26" i="1"/>
  <c r="C99" i="1" s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G21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C128" i="1" s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S16" i="1"/>
  <c r="S164" i="1" s="1"/>
  <c r="R16" i="1"/>
  <c r="R164" i="1" s="1"/>
  <c r="Q16" i="1"/>
  <c r="Q164" i="1" s="1"/>
  <c r="P16" i="1"/>
  <c r="P164" i="1" s="1"/>
  <c r="O16" i="1"/>
  <c r="O164" i="1" s="1"/>
  <c r="N16" i="1"/>
  <c r="N164" i="1" s="1"/>
  <c r="M16" i="1"/>
  <c r="M164" i="1" s="1"/>
  <c r="L16" i="1"/>
  <c r="L164" i="1" s="1"/>
  <c r="K16" i="1"/>
  <c r="K164" i="1" s="1"/>
  <c r="J16" i="1"/>
  <c r="J164" i="1" s="1"/>
  <c r="I16" i="1"/>
  <c r="I164" i="1" s="1"/>
  <c r="H16" i="1"/>
  <c r="H164" i="1" s="1"/>
  <c r="G16" i="1"/>
  <c r="F16" i="1"/>
  <c r="F164" i="1" s="1"/>
  <c r="E16" i="1"/>
  <c r="E164" i="1" s="1"/>
  <c r="D16" i="1"/>
  <c r="D164" i="1" s="1"/>
  <c r="C16" i="1"/>
  <c r="C164" i="1" s="1"/>
  <c r="S15" i="1"/>
  <c r="S153" i="1" s="1"/>
  <c r="R15" i="1"/>
  <c r="R153" i="1" s="1"/>
  <c r="Q15" i="1"/>
  <c r="Q153" i="1" s="1"/>
  <c r="P15" i="1"/>
  <c r="P153" i="1" s="1"/>
  <c r="O15" i="1"/>
  <c r="O153" i="1" s="1"/>
  <c r="N15" i="1"/>
  <c r="N153" i="1" s="1"/>
  <c r="M15" i="1"/>
  <c r="M153" i="1" s="1"/>
  <c r="L15" i="1"/>
  <c r="L153" i="1" s="1"/>
  <c r="K15" i="1"/>
  <c r="K153" i="1" s="1"/>
  <c r="J15" i="1"/>
  <c r="J153" i="1" s="1"/>
  <c r="I15" i="1"/>
  <c r="I153" i="1" s="1"/>
  <c r="H15" i="1"/>
  <c r="H153" i="1" s="1"/>
  <c r="G15" i="1"/>
  <c r="G153" i="1" s="1"/>
  <c r="F15" i="1"/>
  <c r="F153" i="1" s="1"/>
  <c r="E15" i="1"/>
  <c r="E153" i="1" s="1"/>
  <c r="D15" i="1"/>
  <c r="D153" i="1" s="1"/>
  <c r="C15" i="1"/>
  <c r="C153" i="1" s="1"/>
  <c r="S14" i="1"/>
  <c r="S142" i="1" s="1"/>
  <c r="R14" i="1"/>
  <c r="R142" i="1" s="1"/>
  <c r="Q14" i="1"/>
  <c r="Q142" i="1" s="1"/>
  <c r="P14" i="1"/>
  <c r="P142" i="1" s="1"/>
  <c r="O14" i="1"/>
  <c r="O142" i="1" s="1"/>
  <c r="N14" i="1"/>
  <c r="N142" i="1" s="1"/>
  <c r="M14" i="1"/>
  <c r="M142" i="1" s="1"/>
  <c r="L14" i="1"/>
  <c r="L142" i="1" s="1"/>
  <c r="K14" i="1"/>
  <c r="K142" i="1" s="1"/>
  <c r="J14" i="1"/>
  <c r="J142" i="1" s="1"/>
  <c r="I14" i="1"/>
  <c r="I142" i="1" s="1"/>
  <c r="H14" i="1"/>
  <c r="H142" i="1" s="1"/>
  <c r="G14" i="1"/>
  <c r="G142" i="1" s="1"/>
  <c r="F14" i="1"/>
  <c r="F142" i="1" s="1"/>
  <c r="E14" i="1"/>
  <c r="E142" i="1" s="1"/>
  <c r="D14" i="1"/>
  <c r="D142" i="1" s="1"/>
  <c r="C14" i="1"/>
  <c r="C142" i="1" s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S12" i="1"/>
  <c r="S131" i="1" s="1"/>
  <c r="R12" i="1"/>
  <c r="R131" i="1" s="1"/>
  <c r="Q12" i="1"/>
  <c r="Q131" i="1" s="1"/>
  <c r="P12" i="1"/>
  <c r="P131" i="1" s="1"/>
  <c r="O12" i="1"/>
  <c r="O131" i="1" s="1"/>
  <c r="N12" i="1"/>
  <c r="N131" i="1" s="1"/>
  <c r="M12" i="1"/>
  <c r="M131" i="1" s="1"/>
  <c r="L12" i="1"/>
  <c r="L131" i="1" s="1"/>
  <c r="K12" i="1"/>
  <c r="K131" i="1" s="1"/>
  <c r="J12" i="1"/>
  <c r="J131" i="1" s="1"/>
  <c r="I12" i="1"/>
  <c r="I131" i="1" s="1"/>
  <c r="H12" i="1"/>
  <c r="H131" i="1" s="1"/>
  <c r="G12" i="1"/>
  <c r="G131" i="1" s="1"/>
  <c r="F12" i="1"/>
  <c r="F131" i="1" s="1"/>
  <c r="E12" i="1"/>
  <c r="E131" i="1" s="1"/>
  <c r="D12" i="1"/>
  <c r="D131" i="1" s="1"/>
  <c r="C12" i="1"/>
  <c r="C131" i="1" s="1"/>
  <c r="S11" i="1"/>
  <c r="S120" i="1" s="1"/>
  <c r="R11" i="1"/>
  <c r="R120" i="1" s="1"/>
  <c r="Q11" i="1"/>
  <c r="Q120" i="1" s="1"/>
  <c r="P11" i="1"/>
  <c r="P120" i="1" s="1"/>
  <c r="O11" i="1"/>
  <c r="O120" i="1" s="1"/>
  <c r="N11" i="1"/>
  <c r="N120" i="1" s="1"/>
  <c r="M11" i="1"/>
  <c r="M120" i="1" s="1"/>
  <c r="L11" i="1"/>
  <c r="L120" i="1" s="1"/>
  <c r="K11" i="1"/>
  <c r="K120" i="1" s="1"/>
  <c r="J11" i="1"/>
  <c r="J120" i="1" s="1"/>
  <c r="I11" i="1"/>
  <c r="I120" i="1" s="1"/>
  <c r="H11" i="1"/>
  <c r="H120" i="1" s="1"/>
  <c r="G11" i="1"/>
  <c r="G120" i="1" s="1"/>
  <c r="F11" i="1"/>
  <c r="F120" i="1" s="1"/>
  <c r="E11" i="1"/>
  <c r="E120" i="1" s="1"/>
  <c r="D11" i="1"/>
  <c r="D120" i="1" s="1"/>
  <c r="C11" i="1"/>
  <c r="C120" i="1" s="1"/>
  <c r="S10" i="1"/>
  <c r="S109" i="1" s="1"/>
  <c r="R10" i="1"/>
  <c r="R109" i="1" s="1"/>
  <c r="Q10" i="1"/>
  <c r="Q109" i="1" s="1"/>
  <c r="P10" i="1"/>
  <c r="P109" i="1" s="1"/>
  <c r="O10" i="1"/>
  <c r="O109" i="1" s="1"/>
  <c r="N10" i="1"/>
  <c r="N109" i="1" s="1"/>
  <c r="M10" i="1"/>
  <c r="M109" i="1" s="1"/>
  <c r="L10" i="1"/>
  <c r="L109" i="1" s="1"/>
  <c r="K10" i="1"/>
  <c r="K109" i="1" s="1"/>
  <c r="J10" i="1"/>
  <c r="J109" i="1" s="1"/>
  <c r="I10" i="1"/>
  <c r="I109" i="1" s="1"/>
  <c r="H10" i="1"/>
  <c r="H109" i="1" s="1"/>
  <c r="G10" i="1"/>
  <c r="F10" i="1"/>
  <c r="F109" i="1" s="1"/>
  <c r="E10" i="1"/>
  <c r="E109" i="1" s="1"/>
  <c r="D10" i="1"/>
  <c r="D109" i="1" s="1"/>
  <c r="C10" i="1"/>
  <c r="C109" i="1" s="1"/>
  <c r="S9" i="1"/>
  <c r="S98" i="1" s="1"/>
  <c r="R9" i="1"/>
  <c r="R98" i="1" s="1"/>
  <c r="Q9" i="1"/>
  <c r="Q98" i="1" s="1"/>
  <c r="P9" i="1"/>
  <c r="P98" i="1" s="1"/>
  <c r="O9" i="1"/>
  <c r="O98" i="1" s="1"/>
  <c r="N9" i="1"/>
  <c r="N98" i="1" s="1"/>
  <c r="M9" i="1"/>
  <c r="M98" i="1" s="1"/>
  <c r="L9" i="1"/>
  <c r="L98" i="1" s="1"/>
  <c r="K9" i="1"/>
  <c r="K98" i="1" s="1"/>
  <c r="J9" i="1"/>
  <c r="J98" i="1" s="1"/>
  <c r="I9" i="1"/>
  <c r="I98" i="1" s="1"/>
  <c r="H9" i="1"/>
  <c r="H98" i="1" s="1"/>
  <c r="G9" i="1"/>
  <c r="G98" i="1" s="1"/>
  <c r="F9" i="1"/>
  <c r="F98" i="1" s="1"/>
  <c r="E9" i="1"/>
  <c r="E98" i="1" s="1"/>
  <c r="D9" i="1"/>
  <c r="D98" i="1" s="1"/>
  <c r="C9" i="1"/>
  <c r="C98" i="1" s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T19" i="1" l="1"/>
  <c r="U19" i="1" s="1"/>
  <c r="T65" i="1"/>
  <c r="U65" i="1" s="1"/>
  <c r="T144" i="1"/>
  <c r="U144" i="1" s="1"/>
  <c r="B154" i="1"/>
  <c r="T121" i="1"/>
  <c r="U121" i="1" s="1"/>
  <c r="T47" i="1"/>
  <c r="U47" i="1" s="1"/>
  <c r="T156" i="1"/>
  <c r="U156" i="1" s="1"/>
  <c r="B155" i="1"/>
  <c r="T52" i="1"/>
  <c r="U52" i="1" s="1"/>
  <c r="T80" i="1"/>
  <c r="U80" i="1" s="1"/>
  <c r="B110" i="1"/>
  <c r="B100" i="1"/>
  <c r="B112" i="1"/>
  <c r="B102" i="1"/>
  <c r="T98" i="1"/>
  <c r="U98" i="1" s="1"/>
  <c r="T135" i="1"/>
  <c r="U135" i="1" s="1"/>
  <c r="T88" i="1"/>
  <c r="U88" i="1" s="1"/>
  <c r="B101" i="1"/>
  <c r="T18" i="1"/>
  <c r="U18" i="1" s="1"/>
  <c r="T71" i="1"/>
  <c r="U71" i="1" s="1"/>
  <c r="T146" i="1"/>
  <c r="U146" i="1" s="1"/>
  <c r="T120" i="1"/>
  <c r="U120" i="1" s="1"/>
  <c r="T30" i="1"/>
  <c r="U30" i="1" s="1"/>
  <c r="T69" i="1"/>
  <c r="U69" i="1" s="1"/>
  <c r="T42" i="1"/>
  <c r="U42" i="1" s="1"/>
  <c r="T112" i="1"/>
  <c r="U112" i="1" s="1"/>
  <c r="B157" i="1"/>
  <c r="T44" i="1"/>
  <c r="U44" i="1" s="1"/>
  <c r="T16" i="1"/>
  <c r="U16" i="1" s="1"/>
  <c r="G164" i="1"/>
  <c r="T164" i="1" s="1"/>
  <c r="U164" i="1" s="1"/>
  <c r="T89" i="1"/>
  <c r="U89" i="1" s="1"/>
  <c r="T35" i="1"/>
  <c r="U35" i="1" s="1"/>
  <c r="H111" i="1"/>
  <c r="T111" i="1" s="1"/>
  <c r="U111" i="1" s="1"/>
  <c r="T87" i="1"/>
  <c r="U87" i="1" s="1"/>
  <c r="T142" i="1"/>
  <c r="U142" i="1" s="1"/>
  <c r="T26" i="1"/>
  <c r="U26" i="1" s="1"/>
  <c r="G99" i="1"/>
  <c r="T99" i="1" s="1"/>
  <c r="U99" i="1" s="1"/>
  <c r="T85" i="1"/>
  <c r="U85" i="1" s="1"/>
  <c r="G157" i="1"/>
  <c r="T157" i="1" s="1"/>
  <c r="U157" i="1" s="1"/>
  <c r="T132" i="1"/>
  <c r="U132" i="1" s="1"/>
  <c r="T61" i="1"/>
  <c r="U61" i="1" s="1"/>
  <c r="G101" i="1"/>
  <c r="T101" i="1" s="1"/>
  <c r="U101" i="1" s="1"/>
  <c r="T81" i="1"/>
  <c r="U81" i="1" s="1"/>
  <c r="G124" i="1"/>
  <c r="T124" i="1" s="1"/>
  <c r="U124" i="1" s="1"/>
  <c r="T153" i="1"/>
  <c r="U153" i="1" s="1"/>
  <c r="T46" i="1"/>
  <c r="U46" i="1" s="1"/>
  <c r="G133" i="1"/>
  <c r="T133" i="1" s="1"/>
  <c r="U133" i="1" s="1"/>
  <c r="T53" i="1"/>
  <c r="U53" i="1" s="1"/>
  <c r="T27" i="1"/>
  <c r="U27" i="1" s="1"/>
  <c r="H110" i="1"/>
  <c r="T110" i="1" s="1"/>
  <c r="U110" i="1" s="1"/>
  <c r="T32" i="1"/>
  <c r="U32" i="1" s="1"/>
  <c r="T51" i="1"/>
  <c r="U51" i="1" s="1"/>
  <c r="T66" i="1"/>
  <c r="U66" i="1" s="1"/>
  <c r="H145" i="1"/>
  <c r="T145" i="1" s="1"/>
  <c r="U145" i="1" s="1"/>
  <c r="T100" i="1"/>
  <c r="U100" i="1" s="1"/>
  <c r="T131" i="1"/>
  <c r="U131" i="1" s="1"/>
  <c r="T78" i="1"/>
  <c r="U78" i="1" s="1"/>
  <c r="T17" i="1"/>
  <c r="U17" i="1" s="1"/>
  <c r="T36" i="1"/>
  <c r="U36" i="1" s="1"/>
  <c r="T50" i="1"/>
  <c r="U50" i="1" s="1"/>
  <c r="T83" i="1"/>
  <c r="U83" i="1" s="1"/>
  <c r="T10" i="1"/>
  <c r="U10" i="1" s="1"/>
  <c r="T60" i="1"/>
  <c r="U60" i="1" s="1"/>
  <c r="T8" i="1"/>
  <c r="U8" i="1" s="1"/>
  <c r="T15" i="1"/>
  <c r="U15" i="1" s="1"/>
  <c r="T31" i="1"/>
  <c r="U31" i="1" s="1"/>
  <c r="T82" i="1"/>
  <c r="U82" i="1" s="1"/>
  <c r="T84" i="1"/>
  <c r="U84" i="1" s="1"/>
  <c r="B144" i="1"/>
  <c r="B143" i="1"/>
  <c r="T63" i="1"/>
  <c r="U63" i="1" s="1"/>
  <c r="B168" i="1"/>
  <c r="B165" i="1"/>
  <c r="T165" i="1"/>
  <c r="U165" i="1" s="1"/>
  <c r="B124" i="1"/>
  <c r="B123" i="1"/>
  <c r="B121" i="1"/>
  <c r="T28" i="1"/>
  <c r="U28" i="1" s="1"/>
  <c r="T67" i="1"/>
  <c r="U67" i="1" s="1"/>
  <c r="G113" i="1"/>
  <c r="T113" i="1" s="1"/>
  <c r="U113" i="1" s="1"/>
  <c r="T14" i="1"/>
  <c r="U14" i="1" s="1"/>
  <c r="G109" i="1"/>
  <c r="T109" i="1" s="1"/>
  <c r="U109" i="1" s="1"/>
  <c r="T12" i="1"/>
  <c r="U12" i="1" s="1"/>
  <c r="T102" i="1"/>
  <c r="U102" i="1" s="1"/>
  <c r="T79" i="1"/>
  <c r="U79" i="1" s="1"/>
  <c r="T168" i="1"/>
  <c r="U168" i="1" s="1"/>
  <c r="T43" i="1"/>
  <c r="U43" i="1" s="1"/>
  <c r="T45" i="1"/>
  <c r="U45" i="1" s="1"/>
  <c r="T49" i="1"/>
  <c r="U49" i="1" s="1"/>
  <c r="G155" i="1"/>
  <c r="T155" i="1" s="1"/>
  <c r="U155" i="1" s="1"/>
  <c r="T62" i="1"/>
  <c r="U62" i="1" s="1"/>
  <c r="B146" i="1"/>
  <c r="B166" i="1"/>
  <c r="T70" i="1"/>
  <c r="U70" i="1" s="1"/>
  <c r="B145" i="1"/>
  <c r="T25" i="1"/>
  <c r="U25" i="1" s="1"/>
  <c r="G167" i="1"/>
  <c r="T167" i="1" s="1"/>
  <c r="U167" i="1" s="1"/>
  <c r="T68" i="1"/>
  <c r="U68" i="1" s="1"/>
  <c r="T86" i="1"/>
  <c r="U86" i="1" s="1"/>
  <c r="T123" i="1"/>
  <c r="U123" i="1" s="1"/>
  <c r="B167" i="1"/>
  <c r="T122" i="1"/>
  <c r="U122" i="1" s="1"/>
  <c r="T29" i="1"/>
  <c r="U29" i="1" s="1"/>
  <c r="T143" i="1"/>
  <c r="U143" i="1" s="1"/>
  <c r="T33" i="1"/>
  <c r="U33" i="1" s="1"/>
  <c r="B135" i="1"/>
  <c r="B134" i="1"/>
  <c r="B133" i="1"/>
  <c r="T166" i="1"/>
  <c r="U166" i="1" s="1"/>
  <c r="G154" i="1"/>
  <c r="T154" i="1" s="1"/>
  <c r="U154" i="1" s="1"/>
  <c r="T9" i="1"/>
  <c r="U9" i="1" s="1"/>
  <c r="B113" i="1"/>
  <c r="T11" i="1"/>
  <c r="U11" i="1" s="1"/>
  <c r="T13" i="1"/>
  <c r="U13" i="1" s="1"/>
  <c r="T48" i="1"/>
  <c r="U48" i="1" s="1"/>
  <c r="T34" i="1"/>
  <c r="U34" i="1" s="1"/>
  <c r="G134" i="1"/>
  <c r="T134" i="1" s="1"/>
  <c r="U134" i="1" s="1"/>
  <c r="T64" i="1"/>
  <c r="U64" i="1" s="1"/>
</calcChain>
</file>

<file path=xl/sharedStrings.xml><?xml version="1.0" encoding="utf-8"?>
<sst xmlns="http://schemas.openxmlformats.org/spreadsheetml/2006/main" count="533" uniqueCount="71">
  <si>
    <t>YHDISTELMÄ PALKKATAULUKKO 1.7.2025</t>
  </si>
  <si>
    <t>SAMMANSATT LÖNETABELL 1.7.2025</t>
  </si>
  <si>
    <t>SYYTTÄJÄT</t>
  </si>
  <si>
    <t>ÅKLAGARNA</t>
  </si>
  <si>
    <t>yleiskorotus 2,4 %</t>
  </si>
  <si>
    <t>0 - 6 vuotta 11 kuukautta kokemusta (ei kokemusosa %)</t>
  </si>
  <si>
    <t>0 - 6 år 11 månaders erfarenhet (ingen erfarenhetsdel %)</t>
  </si>
  <si>
    <t>Tehtävän vaativuus-taso/ Uppgiftens kravnivå</t>
  </si>
  <si>
    <t>Tehtävän mukainen palkan-osa/ Uppgiftsrelaterad lönedel</t>
  </si>
  <si>
    <t>Suorituspisteet ja suoritustasot / Prestationspoäng och prestationsnivå</t>
  </si>
  <si>
    <t>Palkkaus keskim suoritustasoilla 8-11 x 12 kk</t>
  </si>
  <si>
    <t>taso/ nivå 4</t>
  </si>
  <si>
    <t>taso 5</t>
  </si>
  <si>
    <t>taso 6</t>
  </si>
  <si>
    <t>taso 7</t>
  </si>
  <si>
    <t>taso 8</t>
  </si>
  <si>
    <t>taso 9</t>
  </si>
  <si>
    <t>taso 10</t>
  </si>
  <si>
    <t>taso 11</t>
  </si>
  <si>
    <t>taso 12</t>
  </si>
  <si>
    <t>taso 13</t>
  </si>
  <si>
    <t>taso 14</t>
  </si>
  <si>
    <t>taso 15</t>
  </si>
  <si>
    <t>taso 16</t>
  </si>
  <si>
    <t>taso 17</t>
  </si>
  <si>
    <t>taso 18</t>
  </si>
  <si>
    <t>taso 19</t>
  </si>
  <si>
    <t>taso 20</t>
  </si>
  <si>
    <t>6-6,9 p. (8,1%)</t>
  </si>
  <si>
    <t>7-7,9 p. (10,2%)</t>
  </si>
  <si>
    <t>8-8,9 p. (12,4%)</t>
  </si>
  <si>
    <t>9-9,4 p. (14,5%)</t>
  </si>
  <si>
    <t>9,5-9,9 p (16,4 %)</t>
  </si>
  <si>
    <t>10-10,4 p. (17,7%)</t>
  </si>
  <si>
    <t>10,5-10,9 p (19%)</t>
  </si>
  <si>
    <t>11-11,4 p. (20,3%)</t>
  </si>
  <si>
    <t>11,5-11,9 p. (21,6%)</t>
  </si>
  <si>
    <t>12-12,4 p. (22,9%)</t>
  </si>
  <si>
    <t>12,5-12,9 p. (24,2%)</t>
  </si>
  <si>
    <t>13-13,4 p. (25,5%)</t>
  </si>
  <si>
    <t>13,5-13,9 p. (26,8%)</t>
  </si>
  <si>
    <t>14-14,4 p. (28,1%)</t>
  </si>
  <si>
    <t>14,5-14,9 p. (29,2%)</t>
  </si>
  <si>
    <t>15-15,4 p. (30%)</t>
  </si>
  <si>
    <t>15,5-15,9 p. (30,8%)</t>
  </si>
  <si>
    <t>Keskimäärin suoritustasoilla 8-11</t>
  </si>
  <si>
    <t>Vuodessa</t>
  </si>
  <si>
    <t>7 - 12 vuotta 11 kuukautta kokemusta (kokemusosa 4 %)</t>
  </si>
  <si>
    <t>13 - 17 vuotta 11 kuukautta kokemusta (kokemusosa 7 %)</t>
  </si>
  <si>
    <t>18 - 22 vuotta 11 kuukautta kokemusta (kokemusosa 12 %)</t>
  </si>
  <si>
    <t>väh. 23 vuotta kokemusta (kokemusosa 16 %)</t>
  </si>
  <si>
    <t>Syyttäjät</t>
  </si>
  <si>
    <t>vaativuustaso 11</t>
  </si>
  <si>
    <t>0-6 v 11 kk</t>
  </si>
  <si>
    <t>7v - 12 v 11 kk</t>
  </si>
  <si>
    <t>13 v - 17 v 11 kk</t>
  </si>
  <si>
    <t>18 v - 22 v 11 kk</t>
  </si>
  <si>
    <t>23 v</t>
  </si>
  <si>
    <t>vaativuustaso 12</t>
  </si>
  <si>
    <t>vaativuustaso 13</t>
  </si>
  <si>
    <t>vaativuustaso 14</t>
  </si>
  <si>
    <t>kravnivå 14</t>
  </si>
  <si>
    <t>vaativuustaso 16</t>
  </si>
  <si>
    <t>vaativuustaso 17</t>
  </si>
  <si>
    <t>kravnivå 17</t>
  </si>
  <si>
    <t>vaativuustaso 18</t>
  </si>
  <si>
    <t>kravnivå 18</t>
  </si>
  <si>
    <t>päivitys 4.6.2025</t>
  </si>
  <si>
    <t>Suorituspisteet ja suoritustasot /</t>
  </si>
  <si>
    <t xml:space="preserve"> Prestationspoäng och prestationsnivå</t>
  </si>
  <si>
    <t>Prestationspoäng och prestationsnivå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</si>
</sst>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sz val="14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1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3" fillId="0" borderId="0" xfId="0" applyFont="1"/>
    <xf numFmtId="0" fontId="1" fillId="0" borderId="0" xfId="0" applyFont="1"/>
    <xf numFmtId="14" fontId="1" fillId="0" borderId="0" xfId="0" applyNumberFormat="1" applyFont="1"/>
    <xf numFmtId="4" fontId="2" fillId="0" borderId="0" xfId="0" applyNumberFormat="1" applyFont="1"/>
    <xf numFmtId="0" fontId="1" fillId="2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wrapText="1"/>
    </xf>
    <xf numFmtId="0" fontId="2" fillId="2" borderId="9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1" fillId="2" borderId="17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/>
    </xf>
    <xf numFmtId="1" fontId="2" fillId="0" borderId="1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center"/>
    </xf>
    <xf numFmtId="1" fontId="2" fillId="0" borderId="16" xfId="0" applyNumberFormat="1" applyFont="1" applyBorder="1" applyAlignment="1">
      <alignment horizontal="right"/>
    </xf>
    <xf numFmtId="4" fontId="2" fillId="0" borderId="5" xfId="0" applyNumberFormat="1" applyFont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 wrapText="1"/>
    </xf>
    <xf numFmtId="0" fontId="1" fillId="3" borderId="21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/>
    </xf>
    <xf numFmtId="4" fontId="2" fillId="0" borderId="22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0" fontId="2" fillId="0" borderId="23" xfId="0" applyFont="1" applyBorder="1"/>
    <xf numFmtId="4" fontId="2" fillId="0" borderId="12" xfId="0" applyNumberFormat="1" applyFont="1" applyBorder="1"/>
    <xf numFmtId="0" fontId="2" fillId="0" borderId="4" xfId="0" applyFont="1" applyBorder="1"/>
    <xf numFmtId="4" fontId="2" fillId="0" borderId="16" xfId="0" applyNumberFormat="1" applyFont="1" applyBorder="1"/>
    <xf numFmtId="4" fontId="1" fillId="0" borderId="0" xfId="0" applyNumberFormat="1" applyFont="1" applyAlignment="1">
      <alignment horizontal="center"/>
    </xf>
    <xf numFmtId="0" fontId="2" fillId="0" borderId="7" xfId="0" applyFont="1" applyBorder="1"/>
    <xf numFmtId="4" fontId="2" fillId="0" borderId="22" xfId="0" applyNumberFormat="1" applyFont="1" applyBorder="1"/>
    <xf numFmtId="0" fontId="2" fillId="0" borderId="12" xfId="0" applyFont="1" applyBorder="1"/>
    <xf numFmtId="0" fontId="2" fillId="0" borderId="16" xfId="0" applyFont="1" applyBorder="1"/>
    <xf numFmtId="4" fontId="2" fillId="0" borderId="6" xfId="0" applyNumberFormat="1" applyFont="1" applyBorder="1"/>
    <xf numFmtId="4" fontId="2" fillId="0" borderId="23" xfId="0" applyNumberFormat="1" applyFont="1" applyBorder="1" applyAlignment="1">
      <alignment horizontal="center"/>
    </xf>
    <xf numFmtId="4" fontId="2" fillId="0" borderId="12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4" fontId="2" fillId="0" borderId="16" xfId="0" applyNumberFormat="1" applyFont="1" applyBorder="1" applyAlignment="1">
      <alignment horizontal="center"/>
    </xf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49" fontId="1" fillId="2" borderId="8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/>
    </xf>
    <xf numFmtId="49" fontId="1" fillId="2" borderId="19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0" borderId="23" xfId="0" applyFont="1" applyBorder="1"/>
    <xf numFmtId="0" fontId="2" fillId="0" borderId="0" xfId="0" applyFo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1" fillId="2" borderId="4" xfId="0" applyFont="1" applyFill="1" applyBorder="1"/>
    <xf numFmtId="0" fontId="2" fillId="0" borderId="5" xfId="0" applyFont="1" applyBorder="1"/>
    <xf numFmtId="0" fontId="2" fillId="0" borderId="6" xfId="0" applyFont="1" applyBorder="1"/>
    <xf numFmtId="0" fontId="1" fillId="2" borderId="8" xfId="0" applyFont="1" applyFill="1" applyBorder="1" applyAlignment="1">
      <alignment horizontal="left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OH9010\8%20Hallinto\VKST\Hallinto%20johto\Ves-asiat\Palkkataulukot%20syytt&#228;j&#228;%20ja%20toimisto\Syytt&#228;j&#228;t\Palkkataulukko%2001072025\Yhdistelm&#228;taulukko%20syytt&#228;j&#228;t%201.7.2025%20laskelma.xlsx" TargetMode="External"/><Relationship Id="rId1" Type="http://schemas.openxmlformats.org/officeDocument/2006/relationships/externalLinkPath" Target="file:///J:\OH9010\8%20Hallinto\VKST\Hallinto%20johto\Ves-asiat\Palkkataulukot%20syytt&#228;j&#228;%20ja%20toimisto\Syytt&#228;j&#228;t\Palkkataulukko%2001072025\Yhdistelm&#228;taulukko%20syytt&#228;j&#228;t%201.7.2025%20laskel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ul1"/>
      <sheetName val="01032012"/>
      <sheetName val="01082014 tarkentava ves"/>
      <sheetName val="01082015 "/>
      <sheetName val="01082015 yleiskorotus 0,4"/>
      <sheetName val="01022016 yleiskorotus"/>
      <sheetName val="01042018 yleiskorotus"/>
      <sheetName val="01092018 "/>
      <sheetName val="01042019"/>
      <sheetName val="01082020"/>
      <sheetName val="01062021"/>
      <sheetName val="01062022"/>
      <sheetName val="01052023"/>
      <sheetName val="01032024"/>
      <sheetName val="01072025"/>
    </sheetNames>
    <sheetDataSet>
      <sheetData sheetId="0" refreshError="1"/>
      <sheetData sheetId="1" refreshError="1"/>
      <sheetData sheetId="2">
        <row r="27">
          <cell r="G27" t="str">
            <v>7 - 12 år 11 månaders erfarenhet (erfarenhetsdel 4 %)</v>
          </cell>
        </row>
        <row r="53">
          <cell r="G53" t="str">
            <v>13 - 17 år 11 månaders erfarenhet (erfarenhetsdel 7 %)</v>
          </cell>
        </row>
        <row r="72">
          <cell r="G72" t="str">
            <v>18 - 22 år 11 månaders erfarenhet (erfarenhetsdel 12 %)</v>
          </cell>
        </row>
        <row r="92">
          <cell r="G92" t="str">
            <v>minst 23 års erfarenhet (erfarenhetsdel 16 %)</v>
          </cell>
        </row>
        <row r="116">
          <cell r="G116" t="str">
            <v>kravnivå 11</v>
          </cell>
        </row>
        <row r="129">
          <cell r="G129" t="str">
            <v>kravnivå 12</v>
          </cell>
        </row>
        <row r="142">
          <cell r="G142" t="str">
            <v>kravnivå 13</v>
          </cell>
        </row>
        <row r="155">
          <cell r="G155" t="str">
            <v>kravnivå 16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285D0-DE72-42E6-9113-14DB4E86AD77}">
  <dimension ref="A1:U168"/>
  <sheetViews>
    <sheetView tabSelected="1" zoomScale="60" zoomScaleNormal="60" workbookViewId="0">
      <selection activeCell="K144" sqref="K144"/>
    </sheetView>
  </sheetViews>
  <sheetFormatPr defaultColWidth="9.1796875" defaultRowHeight="13" x14ac:dyDescent="0.3"/>
  <cols>
    <col min="1" max="1" width="10.54296875" style="1" customWidth="1"/>
    <col min="2" max="2" width="13.1796875" style="1" customWidth="1"/>
    <col min="3" max="3" width="16.81640625" style="1" customWidth="1"/>
    <col min="4" max="4" width="16.6328125" style="1" customWidth="1"/>
    <col min="5" max="5" width="14.26953125" style="1" customWidth="1"/>
    <col min="6" max="6" width="11.90625" style="1" customWidth="1"/>
    <col min="7" max="7" width="11.26953125" style="1" customWidth="1"/>
    <col min="8" max="19" width="10.81640625" style="1" customWidth="1"/>
    <col min="20" max="20" width="21.7265625" style="1" customWidth="1"/>
    <col min="21" max="21" width="11.81640625" style="1" customWidth="1"/>
    <col min="22" max="16384" width="9.1796875" style="1"/>
  </cols>
  <sheetData>
    <row r="1" spans="1:21" x14ac:dyDescent="0.3">
      <c r="A1" s="60" t="s">
        <v>0</v>
      </c>
      <c r="B1" s="61"/>
      <c r="C1" s="61"/>
      <c r="D1" s="61"/>
      <c r="E1" s="61"/>
      <c r="F1" s="62"/>
      <c r="G1" s="60" t="s">
        <v>1</v>
      </c>
      <c r="H1" s="61"/>
      <c r="I1" s="61"/>
      <c r="J1" s="61"/>
      <c r="K1" s="61"/>
      <c r="L1" s="62"/>
    </row>
    <row r="2" spans="1:21" ht="18.5" x14ac:dyDescent="0.45">
      <c r="A2" s="2" t="s">
        <v>2</v>
      </c>
      <c r="B2" s="3"/>
      <c r="C2" s="3"/>
      <c r="D2" s="3"/>
      <c r="E2" s="3"/>
      <c r="F2" s="4"/>
      <c r="G2" s="63" t="s">
        <v>3</v>
      </c>
      <c r="H2" s="64"/>
      <c r="I2" s="64"/>
      <c r="J2" s="64"/>
      <c r="K2" s="64"/>
      <c r="L2" s="65"/>
      <c r="N2" s="1" t="s">
        <v>67</v>
      </c>
      <c r="P2" s="5"/>
    </row>
    <row r="3" spans="1:21" x14ac:dyDescent="0.3">
      <c r="N3" s="1" t="s">
        <v>4</v>
      </c>
    </row>
    <row r="4" spans="1:21" s="6" customFormat="1" ht="13" customHeight="1" thickBot="1" x14ac:dyDescent="0.35">
      <c r="A4" s="6" t="s">
        <v>5</v>
      </c>
      <c r="G4" s="6" t="s">
        <v>6</v>
      </c>
      <c r="L4" s="7"/>
    </row>
    <row r="5" spans="1:21" ht="43" customHeight="1" x14ac:dyDescent="0.3">
      <c r="A5" s="49" t="s">
        <v>7</v>
      </c>
      <c r="B5" s="49" t="s">
        <v>8</v>
      </c>
      <c r="C5" s="66" t="s">
        <v>68</v>
      </c>
      <c r="D5" s="47" t="s">
        <v>69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10" t="s">
        <v>10</v>
      </c>
      <c r="U5" s="11"/>
    </row>
    <row r="6" spans="1:21" ht="26.5" customHeight="1" thickBot="1" x14ac:dyDescent="0.35">
      <c r="A6" s="50"/>
      <c r="B6" s="50"/>
      <c r="C6" s="12" t="s">
        <v>11</v>
      </c>
      <c r="D6" s="13" t="s">
        <v>12</v>
      </c>
      <c r="E6" s="12" t="s">
        <v>13</v>
      </c>
      <c r="F6" s="13" t="s">
        <v>14</v>
      </c>
      <c r="G6" s="12" t="s">
        <v>15</v>
      </c>
      <c r="H6" s="13" t="s">
        <v>16</v>
      </c>
      <c r="I6" s="12" t="s">
        <v>17</v>
      </c>
      <c r="J6" s="13" t="s">
        <v>18</v>
      </c>
      <c r="K6" s="12" t="s">
        <v>19</v>
      </c>
      <c r="L6" s="13" t="s">
        <v>20</v>
      </c>
      <c r="M6" s="12" t="s">
        <v>21</v>
      </c>
      <c r="N6" s="13" t="s">
        <v>22</v>
      </c>
      <c r="O6" s="12" t="s">
        <v>23</v>
      </c>
      <c r="P6" s="13" t="s">
        <v>24</v>
      </c>
      <c r="Q6" s="12" t="s">
        <v>25</v>
      </c>
      <c r="R6" s="13" t="s">
        <v>26</v>
      </c>
      <c r="S6" s="12" t="s">
        <v>27</v>
      </c>
      <c r="T6" s="14"/>
      <c r="U6" s="15"/>
    </row>
    <row r="7" spans="1:21" ht="34.5" customHeight="1" x14ac:dyDescent="0.3">
      <c r="A7" s="51"/>
      <c r="B7" s="51"/>
      <c r="C7" s="16" t="s">
        <v>28</v>
      </c>
      <c r="D7" s="17" t="s">
        <v>29</v>
      </c>
      <c r="E7" s="16" t="s">
        <v>30</v>
      </c>
      <c r="F7" s="17" t="s">
        <v>31</v>
      </c>
      <c r="G7" s="16" t="s">
        <v>32</v>
      </c>
      <c r="H7" s="17" t="s">
        <v>33</v>
      </c>
      <c r="I7" s="16" t="s">
        <v>34</v>
      </c>
      <c r="J7" s="17" t="s">
        <v>35</v>
      </c>
      <c r="K7" s="16" t="s">
        <v>36</v>
      </c>
      <c r="L7" s="17" t="s">
        <v>37</v>
      </c>
      <c r="M7" s="16" t="s">
        <v>38</v>
      </c>
      <c r="N7" s="17" t="s">
        <v>39</v>
      </c>
      <c r="O7" s="16" t="s">
        <v>40</v>
      </c>
      <c r="P7" s="17" t="s">
        <v>41</v>
      </c>
      <c r="Q7" s="16" t="s">
        <v>42</v>
      </c>
      <c r="R7" s="17" t="s">
        <v>43</v>
      </c>
      <c r="S7" s="18" t="s">
        <v>44</v>
      </c>
      <c r="T7" s="19" t="s">
        <v>45</v>
      </c>
      <c r="U7" s="20" t="s">
        <v>46</v>
      </c>
    </row>
    <row r="8" spans="1:21" x14ac:dyDescent="0.3">
      <c r="A8" s="21">
        <v>10</v>
      </c>
      <c r="B8" s="22">
        <v>3701.55</v>
      </c>
      <c r="C8" s="22">
        <f>SUM(B8*1.081)</f>
        <v>4001.3755500000002</v>
      </c>
      <c r="D8" s="22">
        <f>SUM(B8*1.102)</f>
        <v>4079.1081000000004</v>
      </c>
      <c r="E8" s="22">
        <f>SUM(B8*1.124)</f>
        <v>4160.5422000000008</v>
      </c>
      <c r="F8" s="22">
        <f>SUM(B8*1.145)</f>
        <v>4238.2747500000005</v>
      </c>
      <c r="G8" s="22">
        <f t="shared" ref="G8:G19" si="0">SUM(B8*1.164)</f>
        <v>4308.6041999999998</v>
      </c>
      <c r="H8" s="22">
        <f t="shared" ref="H8:H19" si="1">SUM(B8*1.177)</f>
        <v>4356.7243500000004</v>
      </c>
      <c r="I8" s="22">
        <f t="shared" ref="I8:I19" si="2">SUM(B8*1.19)</f>
        <v>4404.8445000000002</v>
      </c>
      <c r="J8" s="22">
        <f t="shared" ref="J8:J19" si="3">SUM(B8*1.203)</f>
        <v>4452.9646500000008</v>
      </c>
      <c r="K8" s="22">
        <f t="shared" ref="K8:K19" si="4">SUM(B8*1.216)</f>
        <v>4501.0848000000005</v>
      </c>
      <c r="L8" s="22">
        <f t="shared" ref="L8:L19" si="5">SUM(B8*1.229)</f>
        <v>4549.2049500000003</v>
      </c>
      <c r="M8" s="22">
        <f t="shared" ref="M8:M19" si="6">SUM(B8*1.242)</f>
        <v>4597.3251</v>
      </c>
      <c r="N8" s="22">
        <f t="shared" ref="N8:N19" si="7">SUM(B8*1.255)</f>
        <v>4645.4452499999998</v>
      </c>
      <c r="O8" s="22">
        <f t="shared" ref="O8:O19" si="8">SUM(B8*1.268)</f>
        <v>4693.5654000000004</v>
      </c>
      <c r="P8" s="22">
        <f t="shared" ref="P8:P19" si="9">SUM(B8*1.281)</f>
        <v>4741.6855500000001</v>
      </c>
      <c r="Q8" s="22">
        <f t="shared" ref="Q8:Q19" si="10">SUM(B8*1.292)</f>
        <v>4782.4026000000003</v>
      </c>
      <c r="R8" s="22">
        <f t="shared" ref="R8:R19" si="11">SUM(B8*1.3)</f>
        <v>4812.0150000000003</v>
      </c>
      <c r="S8" s="22">
        <f>SUM(B8*1.308)</f>
        <v>4841.6274000000003</v>
      </c>
      <c r="T8" s="22">
        <f>AVERAGE(G8:J8)</f>
        <v>4380.7844250000007</v>
      </c>
      <c r="U8" s="22">
        <f>T8*12</f>
        <v>52569.413100000005</v>
      </c>
    </row>
    <row r="9" spans="1:21" x14ac:dyDescent="0.3">
      <c r="A9" s="21">
        <v>11</v>
      </c>
      <c r="B9" s="22">
        <v>4392.04</v>
      </c>
      <c r="C9" s="22">
        <f t="shared" ref="C9:C19" si="12">SUM(B9*1.081)</f>
        <v>4747.7952399999995</v>
      </c>
      <c r="D9" s="22">
        <f t="shared" ref="D9:D19" si="13">SUM(B9*1.102)</f>
        <v>4840.02808</v>
      </c>
      <c r="E9" s="22">
        <f t="shared" ref="E9:E19" si="14">SUM(B9*1.124)</f>
        <v>4936.6529600000003</v>
      </c>
      <c r="F9" s="22">
        <f t="shared" ref="F9:F19" si="15">SUM(B9*1.145)</f>
        <v>5028.8858</v>
      </c>
      <c r="G9" s="22">
        <f t="shared" si="0"/>
        <v>5112.3345599999993</v>
      </c>
      <c r="H9" s="22">
        <f t="shared" si="1"/>
        <v>5169.4310800000003</v>
      </c>
      <c r="I9" s="22">
        <f t="shared" si="2"/>
        <v>5226.5275999999994</v>
      </c>
      <c r="J9" s="22">
        <f t="shared" si="3"/>
        <v>5283.6241200000004</v>
      </c>
      <c r="K9" s="22">
        <f t="shared" si="4"/>
        <v>5340.7206399999995</v>
      </c>
      <c r="L9" s="22">
        <f t="shared" si="5"/>
        <v>5397.8171600000005</v>
      </c>
      <c r="M9" s="22">
        <f t="shared" si="6"/>
        <v>5454.9136799999997</v>
      </c>
      <c r="N9" s="22">
        <f t="shared" si="7"/>
        <v>5512.0101999999997</v>
      </c>
      <c r="O9" s="22">
        <f t="shared" si="8"/>
        <v>5569.1067199999998</v>
      </c>
      <c r="P9" s="22">
        <f t="shared" si="9"/>
        <v>5626.2032399999998</v>
      </c>
      <c r="Q9" s="22">
        <f t="shared" si="10"/>
        <v>5674.5156800000004</v>
      </c>
      <c r="R9" s="22">
        <f t="shared" si="11"/>
        <v>5709.652</v>
      </c>
      <c r="S9" s="22">
        <f t="shared" ref="S9:S19" si="16">SUM(B9*1.308)</f>
        <v>5744.7883200000006</v>
      </c>
      <c r="T9" s="22">
        <f t="shared" ref="T9:T19" si="17">AVERAGE(G9:J9)</f>
        <v>5197.9793399999999</v>
      </c>
      <c r="U9" s="22">
        <f>T9*12</f>
        <v>62375.752079999998</v>
      </c>
    </row>
    <row r="10" spans="1:21" x14ac:dyDescent="0.3">
      <c r="A10" s="21">
        <v>12</v>
      </c>
      <c r="B10" s="22">
        <v>4673.22</v>
      </c>
      <c r="C10" s="22">
        <f t="shared" si="12"/>
        <v>5051.7508200000002</v>
      </c>
      <c r="D10" s="22">
        <f t="shared" si="13"/>
        <v>5149.8884400000006</v>
      </c>
      <c r="E10" s="22">
        <f t="shared" si="14"/>
        <v>5252.6992800000007</v>
      </c>
      <c r="F10" s="22">
        <f t="shared" si="15"/>
        <v>5350.8369000000002</v>
      </c>
      <c r="G10" s="22">
        <f t="shared" si="0"/>
        <v>5439.6280799999995</v>
      </c>
      <c r="H10" s="22">
        <f t="shared" si="1"/>
        <v>5500.3799400000007</v>
      </c>
      <c r="I10" s="22">
        <f t="shared" si="2"/>
        <v>5561.1318000000001</v>
      </c>
      <c r="J10" s="22">
        <f t="shared" si="3"/>
        <v>5621.8836600000004</v>
      </c>
      <c r="K10" s="22">
        <f t="shared" si="4"/>
        <v>5682.6355199999998</v>
      </c>
      <c r="L10" s="22">
        <f t="shared" si="5"/>
        <v>5743.387380000001</v>
      </c>
      <c r="M10" s="22">
        <f t="shared" si="6"/>
        <v>5804.1392400000004</v>
      </c>
      <c r="N10" s="22">
        <f t="shared" si="7"/>
        <v>5864.8910999999998</v>
      </c>
      <c r="O10" s="22">
        <f t="shared" si="8"/>
        <v>5925.6429600000001</v>
      </c>
      <c r="P10" s="22">
        <f t="shared" si="9"/>
        <v>5986.3948199999995</v>
      </c>
      <c r="Q10" s="22">
        <f t="shared" si="10"/>
        <v>6037.8002400000005</v>
      </c>
      <c r="R10" s="22">
        <f t="shared" si="11"/>
        <v>6075.1860000000006</v>
      </c>
      <c r="S10" s="22">
        <f t="shared" si="16"/>
        <v>6112.5717600000007</v>
      </c>
      <c r="T10" s="22">
        <f t="shared" si="17"/>
        <v>5530.75587</v>
      </c>
      <c r="U10" s="22">
        <f t="shared" ref="U10:U19" si="18">T10*12</f>
        <v>66369.070439999996</v>
      </c>
    </row>
    <row r="11" spans="1:21" x14ac:dyDescent="0.3">
      <c r="A11" s="21">
        <v>13</v>
      </c>
      <c r="B11" s="22">
        <v>4909.04</v>
      </c>
      <c r="C11" s="22">
        <f t="shared" si="12"/>
        <v>5306.6722399999999</v>
      </c>
      <c r="D11" s="22">
        <f t="shared" si="13"/>
        <v>5409.7620800000004</v>
      </c>
      <c r="E11" s="22">
        <f t="shared" si="14"/>
        <v>5517.7609600000005</v>
      </c>
      <c r="F11" s="22">
        <f t="shared" si="15"/>
        <v>5620.8508000000002</v>
      </c>
      <c r="G11" s="22">
        <f t="shared" si="0"/>
        <v>5714.1225599999998</v>
      </c>
      <c r="H11" s="22">
        <f t="shared" si="1"/>
        <v>5777.9400800000003</v>
      </c>
      <c r="I11" s="22">
        <f t="shared" si="2"/>
        <v>5841.7575999999999</v>
      </c>
      <c r="J11" s="22">
        <f t="shared" si="3"/>
        <v>5905.5751200000004</v>
      </c>
      <c r="K11" s="22">
        <f t="shared" si="4"/>
        <v>5969.39264</v>
      </c>
      <c r="L11" s="22">
        <f t="shared" si="5"/>
        <v>6033.2101600000005</v>
      </c>
      <c r="M11" s="22">
        <f t="shared" si="6"/>
        <v>6097.0276800000001</v>
      </c>
      <c r="N11" s="22">
        <f t="shared" si="7"/>
        <v>6160.8451999999997</v>
      </c>
      <c r="O11" s="22">
        <f t="shared" si="8"/>
        <v>6224.6627200000003</v>
      </c>
      <c r="P11" s="22">
        <f t="shared" si="9"/>
        <v>6288.4802399999999</v>
      </c>
      <c r="Q11" s="22">
        <f t="shared" si="10"/>
        <v>6342.4796800000004</v>
      </c>
      <c r="R11" s="22">
        <f t="shared" si="11"/>
        <v>6381.7520000000004</v>
      </c>
      <c r="S11" s="22">
        <f t="shared" si="16"/>
        <v>6421.0243200000004</v>
      </c>
      <c r="T11" s="22">
        <f t="shared" si="17"/>
        <v>5809.8488400000006</v>
      </c>
      <c r="U11" s="22">
        <f t="shared" si="18"/>
        <v>69718.186080000014</v>
      </c>
    </row>
    <row r="12" spans="1:21" x14ac:dyDescent="0.3">
      <c r="A12" s="21">
        <v>14</v>
      </c>
      <c r="B12" s="22">
        <v>5100.88</v>
      </c>
      <c r="C12" s="22">
        <f t="shared" si="12"/>
        <v>5514.0512799999997</v>
      </c>
      <c r="D12" s="22">
        <f t="shared" si="13"/>
        <v>5621.1697600000007</v>
      </c>
      <c r="E12" s="22">
        <f t="shared" si="14"/>
        <v>5733.3891200000007</v>
      </c>
      <c r="F12" s="22">
        <f t="shared" si="15"/>
        <v>5840.5075999999999</v>
      </c>
      <c r="G12" s="22">
        <f t="shared" si="0"/>
        <v>5937.4243200000001</v>
      </c>
      <c r="H12" s="22">
        <f t="shared" si="1"/>
        <v>6003.7357600000005</v>
      </c>
      <c r="I12" s="22">
        <f t="shared" si="2"/>
        <v>6070.0472</v>
      </c>
      <c r="J12" s="22">
        <f t="shared" si="3"/>
        <v>6136.3586400000004</v>
      </c>
      <c r="K12" s="22">
        <f t="shared" si="4"/>
        <v>6202.6700799999999</v>
      </c>
      <c r="L12" s="22">
        <f t="shared" si="5"/>
        <v>6268.9815200000003</v>
      </c>
      <c r="M12" s="22">
        <f t="shared" si="6"/>
        <v>6335.2929599999998</v>
      </c>
      <c r="N12" s="22">
        <f t="shared" si="7"/>
        <v>6401.6043999999993</v>
      </c>
      <c r="O12" s="22">
        <f t="shared" si="8"/>
        <v>6467.9158400000006</v>
      </c>
      <c r="P12" s="22">
        <f t="shared" si="9"/>
        <v>6534.2272800000001</v>
      </c>
      <c r="Q12" s="22">
        <f t="shared" si="10"/>
        <v>6590.3369600000005</v>
      </c>
      <c r="R12" s="22">
        <f t="shared" si="11"/>
        <v>6631.1440000000002</v>
      </c>
      <c r="S12" s="22">
        <f t="shared" si="16"/>
        <v>6671.9510400000008</v>
      </c>
      <c r="T12" s="22">
        <f t="shared" si="17"/>
        <v>6036.8914800000002</v>
      </c>
      <c r="U12" s="22">
        <f t="shared" si="18"/>
        <v>72442.69776000001</v>
      </c>
    </row>
    <row r="13" spans="1:21" x14ac:dyDescent="0.3">
      <c r="A13" s="21">
        <v>15</v>
      </c>
      <c r="B13" s="22">
        <v>5278.07</v>
      </c>
      <c r="C13" s="22">
        <f t="shared" si="12"/>
        <v>5705.5936699999993</v>
      </c>
      <c r="D13" s="22">
        <f t="shared" si="13"/>
        <v>5816.4331400000001</v>
      </c>
      <c r="E13" s="22">
        <f t="shared" si="14"/>
        <v>5932.5506800000003</v>
      </c>
      <c r="F13" s="22">
        <f t="shared" si="15"/>
        <v>6043.3901500000002</v>
      </c>
      <c r="G13" s="22">
        <f t="shared" si="0"/>
        <v>6143.6734799999995</v>
      </c>
      <c r="H13" s="22">
        <f t="shared" si="1"/>
        <v>6212.2883899999997</v>
      </c>
      <c r="I13" s="22">
        <f t="shared" si="2"/>
        <v>6280.903299999999</v>
      </c>
      <c r="J13" s="22">
        <f t="shared" si="3"/>
        <v>6349.5182100000002</v>
      </c>
      <c r="K13" s="22">
        <f t="shared" si="4"/>
        <v>6418.1331199999995</v>
      </c>
      <c r="L13" s="22">
        <f t="shared" si="5"/>
        <v>6486.7480299999997</v>
      </c>
      <c r="M13" s="22">
        <f t="shared" si="6"/>
        <v>6555.36294</v>
      </c>
      <c r="N13" s="22">
        <f t="shared" si="7"/>
        <v>6623.9778499999993</v>
      </c>
      <c r="O13" s="22">
        <f t="shared" si="8"/>
        <v>6692.5927599999995</v>
      </c>
      <c r="P13" s="22">
        <f t="shared" si="9"/>
        <v>6761.2076699999989</v>
      </c>
      <c r="Q13" s="22">
        <f t="shared" si="10"/>
        <v>6819.2664399999994</v>
      </c>
      <c r="R13" s="22">
        <f t="shared" si="11"/>
        <v>6861.491</v>
      </c>
      <c r="S13" s="22">
        <f t="shared" si="16"/>
        <v>6903.7155599999996</v>
      </c>
      <c r="T13" s="22">
        <f t="shared" si="17"/>
        <v>6246.5958449999998</v>
      </c>
      <c r="U13" s="22">
        <f t="shared" si="18"/>
        <v>74959.150139999998</v>
      </c>
    </row>
    <row r="14" spans="1:21" x14ac:dyDescent="0.3">
      <c r="A14" s="21">
        <v>16</v>
      </c>
      <c r="B14" s="22">
        <v>5446.55</v>
      </c>
      <c r="C14" s="22">
        <f t="shared" si="12"/>
        <v>5887.72055</v>
      </c>
      <c r="D14" s="22">
        <f t="shared" si="13"/>
        <v>6002.0981000000011</v>
      </c>
      <c r="E14" s="22">
        <f t="shared" si="14"/>
        <v>6121.9222000000009</v>
      </c>
      <c r="F14" s="22">
        <f t="shared" si="15"/>
        <v>6236.2997500000001</v>
      </c>
      <c r="G14" s="22">
        <f t="shared" si="0"/>
        <v>6339.7842000000001</v>
      </c>
      <c r="H14" s="22">
        <f t="shared" si="1"/>
        <v>6410.5893500000002</v>
      </c>
      <c r="I14" s="22">
        <f t="shared" si="2"/>
        <v>6481.3945000000003</v>
      </c>
      <c r="J14" s="22">
        <f t="shared" si="3"/>
        <v>6552.1996500000005</v>
      </c>
      <c r="K14" s="22">
        <f t="shared" si="4"/>
        <v>6623.0047999999997</v>
      </c>
      <c r="L14" s="22">
        <f t="shared" si="5"/>
        <v>6693.8099500000008</v>
      </c>
      <c r="M14" s="22">
        <f t="shared" si="6"/>
        <v>6764.6151</v>
      </c>
      <c r="N14" s="22">
        <f t="shared" si="7"/>
        <v>6835.4202499999992</v>
      </c>
      <c r="O14" s="22">
        <f t="shared" si="8"/>
        <v>6906.2254000000003</v>
      </c>
      <c r="P14" s="22">
        <f t="shared" si="9"/>
        <v>6977.0305499999995</v>
      </c>
      <c r="Q14" s="22">
        <f t="shared" si="10"/>
        <v>7036.9426000000003</v>
      </c>
      <c r="R14" s="22">
        <f t="shared" si="11"/>
        <v>7080.5150000000003</v>
      </c>
      <c r="S14" s="22">
        <f t="shared" si="16"/>
        <v>7124.0874000000003</v>
      </c>
      <c r="T14" s="22">
        <f t="shared" si="17"/>
        <v>6445.9919250000003</v>
      </c>
      <c r="U14" s="22">
        <f t="shared" si="18"/>
        <v>77351.903099999996</v>
      </c>
    </row>
    <row r="15" spans="1:21" x14ac:dyDescent="0.3">
      <c r="A15" s="21">
        <v>17</v>
      </c>
      <c r="B15" s="22">
        <v>5869.78</v>
      </c>
      <c r="C15" s="22">
        <f t="shared" si="12"/>
        <v>6345.2321799999991</v>
      </c>
      <c r="D15" s="22">
        <f t="shared" si="13"/>
        <v>6468.4975600000007</v>
      </c>
      <c r="E15" s="22">
        <f t="shared" si="14"/>
        <v>6597.6327200000005</v>
      </c>
      <c r="F15" s="22">
        <f t="shared" si="15"/>
        <v>6720.8980999999994</v>
      </c>
      <c r="G15" s="22">
        <f t="shared" si="0"/>
        <v>6832.4239199999993</v>
      </c>
      <c r="H15" s="22">
        <f t="shared" si="1"/>
        <v>6908.7310600000001</v>
      </c>
      <c r="I15" s="22">
        <f t="shared" si="2"/>
        <v>6985.0381999999991</v>
      </c>
      <c r="J15" s="22">
        <f t="shared" si="3"/>
        <v>7061.3453399999999</v>
      </c>
      <c r="K15" s="22">
        <f t="shared" si="4"/>
        <v>7137.6524799999997</v>
      </c>
      <c r="L15" s="22">
        <f t="shared" si="5"/>
        <v>7213.9596200000005</v>
      </c>
      <c r="M15" s="22">
        <f t="shared" si="6"/>
        <v>7290.2667599999995</v>
      </c>
      <c r="N15" s="22">
        <f t="shared" si="7"/>
        <v>7366.5738999999994</v>
      </c>
      <c r="O15" s="22">
        <f t="shared" si="8"/>
        <v>7442.8810400000002</v>
      </c>
      <c r="P15" s="22">
        <f t="shared" si="9"/>
        <v>7519.1881799999992</v>
      </c>
      <c r="Q15" s="22">
        <f t="shared" si="10"/>
        <v>7583.75576</v>
      </c>
      <c r="R15" s="22">
        <f t="shared" si="11"/>
        <v>7630.7139999999999</v>
      </c>
      <c r="S15" s="22">
        <f t="shared" si="16"/>
        <v>7677.6722399999999</v>
      </c>
      <c r="T15" s="22">
        <f t="shared" si="17"/>
        <v>6946.8846299999996</v>
      </c>
      <c r="U15" s="22">
        <f t="shared" si="18"/>
        <v>83362.615559999991</v>
      </c>
    </row>
    <row r="16" spans="1:21" x14ac:dyDescent="0.3">
      <c r="A16" s="21">
        <v>18</v>
      </c>
      <c r="B16" s="22">
        <v>6141.81</v>
      </c>
      <c r="C16" s="22">
        <f t="shared" si="12"/>
        <v>6639.2966100000003</v>
      </c>
      <c r="D16" s="22">
        <f t="shared" si="13"/>
        <v>6768.2746200000011</v>
      </c>
      <c r="E16" s="22">
        <f t="shared" si="14"/>
        <v>6903.3944400000009</v>
      </c>
      <c r="F16" s="22">
        <f t="shared" si="15"/>
        <v>7032.3724500000008</v>
      </c>
      <c r="G16" s="22">
        <f t="shared" si="0"/>
        <v>7149.0668400000004</v>
      </c>
      <c r="H16" s="22">
        <f t="shared" si="1"/>
        <v>7228.9103700000005</v>
      </c>
      <c r="I16" s="22">
        <f t="shared" si="2"/>
        <v>7308.7538999999997</v>
      </c>
      <c r="J16" s="22">
        <f t="shared" si="3"/>
        <v>7388.5974300000007</v>
      </c>
      <c r="K16" s="22">
        <f t="shared" si="4"/>
        <v>7468.4409599999999</v>
      </c>
      <c r="L16" s="22">
        <f t="shared" si="5"/>
        <v>7548.2844900000009</v>
      </c>
      <c r="M16" s="22">
        <f t="shared" si="6"/>
        <v>7628.1280200000001</v>
      </c>
      <c r="N16" s="22">
        <f t="shared" si="7"/>
        <v>7707.9715500000002</v>
      </c>
      <c r="O16" s="22">
        <f t="shared" si="8"/>
        <v>7787.8150800000003</v>
      </c>
      <c r="P16" s="22">
        <f t="shared" si="9"/>
        <v>7867.6586100000004</v>
      </c>
      <c r="Q16" s="22">
        <f t="shared" si="10"/>
        <v>7935.2185200000004</v>
      </c>
      <c r="R16" s="22">
        <f t="shared" si="11"/>
        <v>7984.353000000001</v>
      </c>
      <c r="S16" s="22">
        <f t="shared" si="16"/>
        <v>8033.4874800000007</v>
      </c>
      <c r="T16" s="22">
        <f t="shared" si="17"/>
        <v>7268.8321350000006</v>
      </c>
      <c r="U16" s="22">
        <f t="shared" si="18"/>
        <v>87225.985620000007</v>
      </c>
    </row>
    <row r="17" spans="1:21" x14ac:dyDescent="0.3">
      <c r="A17" s="21">
        <v>19</v>
      </c>
      <c r="B17" s="22">
        <v>6395.91</v>
      </c>
      <c r="C17" s="22">
        <f t="shared" si="12"/>
        <v>6913.9787099999994</v>
      </c>
      <c r="D17" s="22">
        <f t="shared" si="13"/>
        <v>7048.2928200000006</v>
      </c>
      <c r="E17" s="22">
        <f t="shared" si="14"/>
        <v>7189.0028400000001</v>
      </c>
      <c r="F17" s="22">
        <f t="shared" si="15"/>
        <v>7323.3169500000004</v>
      </c>
      <c r="G17" s="22">
        <f t="shared" si="0"/>
        <v>7444.8392399999993</v>
      </c>
      <c r="H17" s="22">
        <f t="shared" si="1"/>
        <v>7527.9860699999999</v>
      </c>
      <c r="I17" s="22">
        <f t="shared" si="2"/>
        <v>7611.1328999999996</v>
      </c>
      <c r="J17" s="22">
        <f t="shared" si="3"/>
        <v>7694.2797300000002</v>
      </c>
      <c r="K17" s="22">
        <f t="shared" si="4"/>
        <v>7777.4265599999999</v>
      </c>
      <c r="L17" s="22">
        <f t="shared" si="5"/>
        <v>7860.5733900000005</v>
      </c>
      <c r="M17" s="22">
        <f t="shared" si="6"/>
        <v>7943.7202200000002</v>
      </c>
      <c r="N17" s="22">
        <f t="shared" si="7"/>
        <v>8026.8670499999989</v>
      </c>
      <c r="O17" s="22">
        <f t="shared" si="8"/>
        <v>8110.0138799999995</v>
      </c>
      <c r="P17" s="22">
        <f t="shared" si="9"/>
        <v>8193.1607100000001</v>
      </c>
      <c r="Q17" s="22">
        <f t="shared" si="10"/>
        <v>8263.5157199999994</v>
      </c>
      <c r="R17" s="22">
        <f t="shared" si="11"/>
        <v>8314.6830000000009</v>
      </c>
      <c r="S17" s="22">
        <f t="shared" si="16"/>
        <v>8365.8502800000006</v>
      </c>
      <c r="T17" s="22">
        <f t="shared" si="17"/>
        <v>7569.5594849999998</v>
      </c>
      <c r="U17" s="22">
        <f t="shared" si="18"/>
        <v>90834.713820000004</v>
      </c>
    </row>
    <row r="18" spans="1:21" x14ac:dyDescent="0.3">
      <c r="A18" s="21">
        <v>20</v>
      </c>
      <c r="B18" s="22">
        <v>6643.12</v>
      </c>
      <c r="C18" s="22">
        <f t="shared" si="12"/>
        <v>7181.2127199999995</v>
      </c>
      <c r="D18" s="22">
        <f t="shared" si="13"/>
        <v>7320.7182400000002</v>
      </c>
      <c r="E18" s="22">
        <f t="shared" si="14"/>
        <v>7466.8668800000005</v>
      </c>
      <c r="F18" s="22">
        <f t="shared" si="15"/>
        <v>7606.3724000000002</v>
      </c>
      <c r="G18" s="22">
        <f t="shared" si="0"/>
        <v>7732.5916799999995</v>
      </c>
      <c r="H18" s="22">
        <f t="shared" si="1"/>
        <v>7818.9522400000005</v>
      </c>
      <c r="I18" s="22">
        <f t="shared" si="2"/>
        <v>7905.3127999999997</v>
      </c>
      <c r="J18" s="22">
        <f t="shared" si="3"/>
        <v>7991.6733600000007</v>
      </c>
      <c r="K18" s="22">
        <f t="shared" si="4"/>
        <v>8078.0339199999999</v>
      </c>
      <c r="L18" s="22">
        <f t="shared" si="5"/>
        <v>8164.3944800000008</v>
      </c>
      <c r="M18" s="22">
        <f t="shared" si="6"/>
        <v>8250.75504</v>
      </c>
      <c r="N18" s="22">
        <f t="shared" si="7"/>
        <v>8337.1155999999992</v>
      </c>
      <c r="O18" s="22">
        <f t="shared" si="8"/>
        <v>8423.4761600000002</v>
      </c>
      <c r="P18" s="22">
        <f t="shared" si="9"/>
        <v>8509.8367199999993</v>
      </c>
      <c r="Q18" s="22">
        <f t="shared" si="10"/>
        <v>8582.9110400000009</v>
      </c>
      <c r="R18" s="22">
        <f t="shared" si="11"/>
        <v>8636.0560000000005</v>
      </c>
      <c r="S18" s="22">
        <f t="shared" si="16"/>
        <v>8689.2009600000001</v>
      </c>
      <c r="T18" s="22">
        <f t="shared" si="17"/>
        <v>7862.1325200000001</v>
      </c>
      <c r="U18" s="22">
        <f t="shared" si="18"/>
        <v>94345.590240000005</v>
      </c>
    </row>
    <row r="19" spans="1:21" x14ac:dyDescent="0.3">
      <c r="A19" s="23">
        <v>21</v>
      </c>
      <c r="B19" s="24">
        <v>6927.41</v>
      </c>
      <c r="C19" s="24">
        <f t="shared" si="12"/>
        <v>7488.5302099999999</v>
      </c>
      <c r="D19" s="24">
        <f t="shared" si="13"/>
        <v>7634.0058200000003</v>
      </c>
      <c r="E19" s="24">
        <f t="shared" si="14"/>
        <v>7786.408840000001</v>
      </c>
      <c r="F19" s="24">
        <f t="shared" si="15"/>
        <v>7931.8844499999996</v>
      </c>
      <c r="G19" s="24">
        <f t="shared" si="0"/>
        <v>8063.5052399999995</v>
      </c>
      <c r="H19" s="24">
        <f t="shared" si="1"/>
        <v>8153.5615699999998</v>
      </c>
      <c r="I19" s="24">
        <f t="shared" si="2"/>
        <v>8243.6178999999993</v>
      </c>
      <c r="J19" s="24">
        <f t="shared" si="3"/>
        <v>8333.6742300000005</v>
      </c>
      <c r="K19" s="24">
        <f t="shared" si="4"/>
        <v>8423.73056</v>
      </c>
      <c r="L19" s="24">
        <f t="shared" si="5"/>
        <v>8513.7868900000012</v>
      </c>
      <c r="M19" s="24">
        <f t="shared" si="6"/>
        <v>8603.8432200000007</v>
      </c>
      <c r="N19" s="24">
        <f t="shared" si="7"/>
        <v>8693.8995499999983</v>
      </c>
      <c r="O19" s="24">
        <f t="shared" si="8"/>
        <v>8783.9558799999995</v>
      </c>
      <c r="P19" s="24">
        <f t="shared" si="9"/>
        <v>8874.012209999999</v>
      </c>
      <c r="Q19" s="24">
        <f t="shared" si="10"/>
        <v>8950.2137199999997</v>
      </c>
      <c r="R19" s="24">
        <f t="shared" si="11"/>
        <v>9005.6329999999998</v>
      </c>
      <c r="S19" s="24">
        <f t="shared" si="16"/>
        <v>9061.0522799999999</v>
      </c>
      <c r="T19" s="24">
        <f t="shared" si="17"/>
        <v>8198.5897350000014</v>
      </c>
      <c r="U19" s="24">
        <f t="shared" si="18"/>
        <v>98383.076820000017</v>
      </c>
    </row>
    <row r="20" spans="1:21" x14ac:dyDescent="0.3"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</row>
    <row r="21" spans="1:21" x14ac:dyDescent="0.3">
      <c r="A21" s="6" t="s">
        <v>47</v>
      </c>
      <c r="B21" s="6"/>
      <c r="C21" s="6"/>
      <c r="D21" s="6"/>
      <c r="E21" s="6"/>
      <c r="F21" s="6"/>
      <c r="G21" s="6" t="str">
        <f>'[1]01082014 tarkentava ves'!G27</f>
        <v>7 - 12 år 11 månaders erfarenhet (erfarenhetsdel 4 %)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1:21" ht="43.5" customHeight="1" x14ac:dyDescent="0.3">
      <c r="A22" s="49" t="s">
        <v>7</v>
      </c>
      <c r="B22" s="49" t="s">
        <v>8</v>
      </c>
      <c r="C22" s="46" t="str">
        <f>C5</f>
        <v>Suorituspisteet ja suoritustasot /</v>
      </c>
      <c r="D22" s="47" t="s">
        <v>70</v>
      </c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8"/>
      <c r="T22" s="26"/>
      <c r="U22" s="27"/>
    </row>
    <row r="23" spans="1:21" ht="27.5" customHeight="1" thickBot="1" x14ac:dyDescent="0.35">
      <c r="A23" s="50"/>
      <c r="B23" s="50"/>
      <c r="C23" s="12" t="s">
        <v>11</v>
      </c>
      <c r="D23" s="13" t="s">
        <v>12</v>
      </c>
      <c r="E23" s="12" t="s">
        <v>13</v>
      </c>
      <c r="F23" s="13" t="s">
        <v>14</v>
      </c>
      <c r="G23" s="12" t="s">
        <v>15</v>
      </c>
      <c r="H23" s="13" t="s">
        <v>16</v>
      </c>
      <c r="I23" s="12" t="s">
        <v>17</v>
      </c>
      <c r="J23" s="13" t="s">
        <v>18</v>
      </c>
      <c r="K23" s="12" t="s">
        <v>19</v>
      </c>
      <c r="L23" s="13" t="s">
        <v>20</v>
      </c>
      <c r="M23" s="12" t="s">
        <v>21</v>
      </c>
      <c r="N23" s="13" t="s">
        <v>22</v>
      </c>
      <c r="O23" s="12" t="s">
        <v>23</v>
      </c>
      <c r="P23" s="13" t="s">
        <v>24</v>
      </c>
      <c r="Q23" s="12" t="s">
        <v>25</v>
      </c>
      <c r="R23" s="13" t="s">
        <v>26</v>
      </c>
      <c r="S23" s="12" t="s">
        <v>27</v>
      </c>
      <c r="T23" s="14" t="s">
        <v>10</v>
      </c>
      <c r="U23" s="15"/>
    </row>
    <row r="24" spans="1:21" ht="50.25" customHeight="1" x14ac:dyDescent="0.3">
      <c r="A24" s="51"/>
      <c r="B24" s="51"/>
      <c r="C24" s="16" t="s">
        <v>28</v>
      </c>
      <c r="D24" s="17" t="s">
        <v>29</v>
      </c>
      <c r="E24" s="16" t="s">
        <v>30</v>
      </c>
      <c r="F24" s="17" t="s">
        <v>31</v>
      </c>
      <c r="G24" s="16" t="s">
        <v>32</v>
      </c>
      <c r="H24" s="17" t="s">
        <v>33</v>
      </c>
      <c r="I24" s="16" t="s">
        <v>34</v>
      </c>
      <c r="J24" s="17" t="s">
        <v>35</v>
      </c>
      <c r="K24" s="16" t="s">
        <v>36</v>
      </c>
      <c r="L24" s="17" t="s">
        <v>37</v>
      </c>
      <c r="M24" s="16" t="s">
        <v>38</v>
      </c>
      <c r="N24" s="17" t="s">
        <v>39</v>
      </c>
      <c r="O24" s="16" t="s">
        <v>40</v>
      </c>
      <c r="P24" s="17" t="s">
        <v>41</v>
      </c>
      <c r="Q24" s="16" t="s">
        <v>42</v>
      </c>
      <c r="R24" s="17" t="s">
        <v>43</v>
      </c>
      <c r="S24" s="16" t="s">
        <v>44</v>
      </c>
      <c r="T24" s="28" t="s">
        <v>45</v>
      </c>
      <c r="U24" s="29" t="s">
        <v>46</v>
      </c>
    </row>
    <row r="25" spans="1:21" x14ac:dyDescent="0.3">
      <c r="A25" s="21">
        <v>10</v>
      </c>
      <c r="B25" s="22">
        <v>3701.55</v>
      </c>
      <c r="C25" s="22">
        <f>SUM(B25*1.081+B25*0.04)</f>
        <v>4149.4375500000006</v>
      </c>
      <c r="D25" s="22">
        <f>SUM(B25*1.102+B25*0.04)</f>
        <v>4227.1701000000003</v>
      </c>
      <c r="E25" s="22">
        <f>SUM(B25*1.124+B25*0.04)</f>
        <v>4308.6042000000007</v>
      </c>
      <c r="F25" s="22">
        <f>SUM(B25*1.145+B25*0.04)</f>
        <v>4386.3367500000004</v>
      </c>
      <c r="G25" s="22">
        <f t="shared" ref="G25:G36" si="19">SUM(B25*1.164+B25*0.04)</f>
        <v>4456.6661999999997</v>
      </c>
      <c r="H25" s="22">
        <f t="shared" ref="H25:H36" si="20">SUM(B25*1.177+B25*0.04)</f>
        <v>4504.7863500000003</v>
      </c>
      <c r="I25" s="22">
        <f t="shared" ref="I25:I36" si="21">SUM(B25*1.19+B25*0.04)</f>
        <v>4552.9065000000001</v>
      </c>
      <c r="J25" s="22">
        <f t="shared" ref="J25:J36" si="22">SUM(B25*1.203+B25*0.04)</f>
        <v>4601.0266500000007</v>
      </c>
      <c r="K25" s="22">
        <f t="shared" ref="K25:K36" si="23">SUM(B25*1.216+B25*0.04)</f>
        <v>4649.1468000000004</v>
      </c>
      <c r="L25" s="22">
        <f t="shared" ref="L25:L36" si="24">SUM(B25*1.229+B25*0.04)</f>
        <v>4697.2669500000002</v>
      </c>
      <c r="M25" s="22">
        <f t="shared" ref="M25:M36" si="25">SUM(B25*1.242+B25*0.04)</f>
        <v>4745.3870999999999</v>
      </c>
      <c r="N25" s="22">
        <f t="shared" ref="N25:N36" si="26">SUM(B25*1.255+B25*0.04)</f>
        <v>4793.5072499999997</v>
      </c>
      <c r="O25" s="22">
        <f t="shared" ref="O25:O36" si="27">SUM(B25*1.268+B25*0.04)</f>
        <v>4841.6274000000003</v>
      </c>
      <c r="P25" s="22">
        <f t="shared" ref="P25:P36" si="28">SUM(B25*1.281+B25*0.04)</f>
        <v>4889.74755</v>
      </c>
      <c r="Q25" s="22">
        <f t="shared" ref="Q25:Q36" si="29">SUM(B25*1.292+B25*0.04)</f>
        <v>4930.4646000000002</v>
      </c>
      <c r="R25" s="22">
        <f t="shared" ref="R25:R36" si="30">SUM(B25*1.3+B25*0.04)</f>
        <v>4960.0770000000002</v>
      </c>
      <c r="S25" s="30">
        <f>SUM(B25*1.308+B25*0.04)</f>
        <v>4989.6894000000002</v>
      </c>
      <c r="T25" s="22">
        <f>AVERAGE(G25:J25)</f>
        <v>4528.8464249999997</v>
      </c>
      <c r="U25" s="22">
        <f>T25*12</f>
        <v>54346.157099999997</v>
      </c>
    </row>
    <row r="26" spans="1:21" x14ac:dyDescent="0.3">
      <c r="A26" s="21">
        <v>11</v>
      </c>
      <c r="B26" s="22">
        <v>4392.04</v>
      </c>
      <c r="C26" s="22">
        <f t="shared" ref="C26:C36" si="31">SUM(B26*1.081+B26*0.04)</f>
        <v>4923.4768399999994</v>
      </c>
      <c r="D26" s="22">
        <f t="shared" ref="D26:D36" si="32">SUM(B26*1.102+B26*0.04)</f>
        <v>5015.7096799999999</v>
      </c>
      <c r="E26" s="22">
        <f t="shared" ref="E26:E36" si="33">SUM(B26*1.124+B26*0.04)</f>
        <v>5112.3345600000002</v>
      </c>
      <c r="F26" s="22">
        <f t="shared" ref="F26:F36" si="34">SUM(B26*1.145+B26*0.04)</f>
        <v>5204.5673999999999</v>
      </c>
      <c r="G26" s="22">
        <f t="shared" si="19"/>
        <v>5288.0161599999992</v>
      </c>
      <c r="H26" s="22">
        <f t="shared" si="20"/>
        <v>5345.1126800000002</v>
      </c>
      <c r="I26" s="22">
        <f t="shared" si="21"/>
        <v>5402.2091999999993</v>
      </c>
      <c r="J26" s="22">
        <f t="shared" si="22"/>
        <v>5459.3057200000003</v>
      </c>
      <c r="K26" s="22">
        <f t="shared" si="23"/>
        <v>5516.4022399999994</v>
      </c>
      <c r="L26" s="22">
        <f t="shared" si="24"/>
        <v>5573.4987600000004</v>
      </c>
      <c r="M26" s="22">
        <f t="shared" si="25"/>
        <v>5630.5952799999995</v>
      </c>
      <c r="N26" s="22">
        <f t="shared" si="26"/>
        <v>5687.6917999999996</v>
      </c>
      <c r="O26" s="22">
        <f t="shared" si="27"/>
        <v>5744.7883199999997</v>
      </c>
      <c r="P26" s="22">
        <f t="shared" si="28"/>
        <v>5801.8848399999997</v>
      </c>
      <c r="Q26" s="22">
        <f t="shared" si="29"/>
        <v>5850.1972800000003</v>
      </c>
      <c r="R26" s="22">
        <f t="shared" si="30"/>
        <v>5885.3335999999999</v>
      </c>
      <c r="S26" s="30">
        <f t="shared" ref="S26:S36" si="35">SUM(B26*1.308+B26*0.04)</f>
        <v>5920.4699200000005</v>
      </c>
      <c r="T26" s="22">
        <f t="shared" ref="T26:T36" si="36">AVERAGE(G26:J26)</f>
        <v>5373.6609399999998</v>
      </c>
      <c r="U26" s="22">
        <f>T26*12</f>
        <v>64483.931279999997</v>
      </c>
    </row>
    <row r="27" spans="1:21" x14ac:dyDescent="0.3">
      <c r="A27" s="21">
        <v>12</v>
      </c>
      <c r="B27" s="22">
        <v>4673.22</v>
      </c>
      <c r="C27" s="22">
        <f t="shared" si="31"/>
        <v>5238.6796199999999</v>
      </c>
      <c r="D27" s="22">
        <f t="shared" si="32"/>
        <v>5336.8172400000003</v>
      </c>
      <c r="E27" s="22">
        <f t="shared" si="33"/>
        <v>5439.6280800000004</v>
      </c>
      <c r="F27" s="22">
        <f t="shared" si="34"/>
        <v>5537.7656999999999</v>
      </c>
      <c r="G27" s="22">
        <f t="shared" si="19"/>
        <v>5626.5568799999992</v>
      </c>
      <c r="H27" s="22">
        <f t="shared" si="20"/>
        <v>5687.3087400000004</v>
      </c>
      <c r="I27" s="22">
        <f t="shared" si="21"/>
        <v>5748.0605999999998</v>
      </c>
      <c r="J27" s="22">
        <f t="shared" si="22"/>
        <v>5808.8124600000001</v>
      </c>
      <c r="K27" s="22">
        <f t="shared" si="23"/>
        <v>5869.5643199999995</v>
      </c>
      <c r="L27" s="22">
        <f t="shared" si="24"/>
        <v>5930.3161800000007</v>
      </c>
      <c r="M27" s="22">
        <f t="shared" si="25"/>
        <v>5991.0680400000001</v>
      </c>
      <c r="N27" s="22">
        <f t="shared" si="26"/>
        <v>6051.8198999999995</v>
      </c>
      <c r="O27" s="22">
        <f t="shared" si="27"/>
        <v>6112.5717599999998</v>
      </c>
      <c r="P27" s="22">
        <f t="shared" si="28"/>
        <v>6173.3236199999992</v>
      </c>
      <c r="Q27" s="22">
        <f t="shared" si="29"/>
        <v>6224.7290400000002</v>
      </c>
      <c r="R27" s="22">
        <f t="shared" si="30"/>
        <v>6262.1148000000003</v>
      </c>
      <c r="S27" s="30">
        <f t="shared" si="35"/>
        <v>6299.5005600000004</v>
      </c>
      <c r="T27" s="22">
        <f t="shared" si="36"/>
        <v>5717.6846700000006</v>
      </c>
      <c r="U27" s="22">
        <f t="shared" ref="U27:U36" si="37">T27*12</f>
        <v>68612.216039999999</v>
      </c>
    </row>
    <row r="28" spans="1:21" x14ac:dyDescent="0.3">
      <c r="A28" s="21">
        <v>13</v>
      </c>
      <c r="B28" s="22">
        <v>4909.04</v>
      </c>
      <c r="C28" s="22">
        <f t="shared" si="31"/>
        <v>5503.0338400000001</v>
      </c>
      <c r="D28" s="22">
        <f t="shared" si="32"/>
        <v>5606.1236800000006</v>
      </c>
      <c r="E28" s="22">
        <f t="shared" si="33"/>
        <v>5714.1225600000007</v>
      </c>
      <c r="F28" s="22">
        <f t="shared" si="34"/>
        <v>5817.2124000000003</v>
      </c>
      <c r="G28" s="22">
        <f t="shared" si="19"/>
        <v>5910.48416</v>
      </c>
      <c r="H28" s="22">
        <f t="shared" si="20"/>
        <v>5974.3016800000005</v>
      </c>
      <c r="I28" s="22">
        <f t="shared" si="21"/>
        <v>6038.1192000000001</v>
      </c>
      <c r="J28" s="22">
        <f t="shared" si="22"/>
        <v>6101.9367200000006</v>
      </c>
      <c r="K28" s="22">
        <f t="shared" si="23"/>
        <v>6165.7542400000002</v>
      </c>
      <c r="L28" s="22">
        <f t="shared" si="24"/>
        <v>6229.5717600000007</v>
      </c>
      <c r="M28" s="22">
        <f t="shared" si="25"/>
        <v>6293.3892800000003</v>
      </c>
      <c r="N28" s="22">
        <f t="shared" si="26"/>
        <v>6357.2067999999999</v>
      </c>
      <c r="O28" s="22">
        <f t="shared" si="27"/>
        <v>6421.0243200000004</v>
      </c>
      <c r="P28" s="22">
        <f t="shared" si="28"/>
        <v>6484.84184</v>
      </c>
      <c r="Q28" s="22">
        <f t="shared" si="29"/>
        <v>6538.8412800000006</v>
      </c>
      <c r="R28" s="22">
        <f t="shared" si="30"/>
        <v>6578.1136000000006</v>
      </c>
      <c r="S28" s="30">
        <f t="shared" si="35"/>
        <v>6617.3859200000006</v>
      </c>
      <c r="T28" s="22">
        <f t="shared" si="36"/>
        <v>6006.2104400000007</v>
      </c>
      <c r="U28" s="22">
        <f t="shared" si="37"/>
        <v>72074.525280000002</v>
      </c>
    </row>
    <row r="29" spans="1:21" x14ac:dyDescent="0.3">
      <c r="A29" s="21">
        <v>14</v>
      </c>
      <c r="B29" s="22">
        <v>5100.88</v>
      </c>
      <c r="C29" s="22">
        <f t="shared" si="31"/>
        <v>5718.0864799999999</v>
      </c>
      <c r="D29" s="22">
        <f t="shared" si="32"/>
        <v>5825.2049600000009</v>
      </c>
      <c r="E29" s="22">
        <f t="shared" si="33"/>
        <v>5937.424320000001</v>
      </c>
      <c r="F29" s="22">
        <f t="shared" si="34"/>
        <v>6044.5428000000002</v>
      </c>
      <c r="G29" s="22">
        <f t="shared" si="19"/>
        <v>6141.4595200000003</v>
      </c>
      <c r="H29" s="22">
        <f t="shared" si="20"/>
        <v>6207.7709600000007</v>
      </c>
      <c r="I29" s="22">
        <f t="shared" si="21"/>
        <v>6274.0824000000002</v>
      </c>
      <c r="J29" s="22">
        <f t="shared" si="22"/>
        <v>6340.3938400000006</v>
      </c>
      <c r="K29" s="22">
        <f t="shared" si="23"/>
        <v>6406.7052800000001</v>
      </c>
      <c r="L29" s="22">
        <f t="shared" si="24"/>
        <v>6473.0167200000005</v>
      </c>
      <c r="M29" s="22">
        <f t="shared" si="25"/>
        <v>6539.32816</v>
      </c>
      <c r="N29" s="22">
        <f t="shared" si="26"/>
        <v>6605.6395999999995</v>
      </c>
      <c r="O29" s="22">
        <f t="shared" si="27"/>
        <v>6671.9510400000008</v>
      </c>
      <c r="P29" s="22">
        <f t="shared" si="28"/>
        <v>6738.2624800000003</v>
      </c>
      <c r="Q29" s="22">
        <f t="shared" si="29"/>
        <v>6794.3721600000008</v>
      </c>
      <c r="R29" s="22">
        <f t="shared" si="30"/>
        <v>6835.1792000000005</v>
      </c>
      <c r="S29" s="30">
        <f t="shared" si="35"/>
        <v>6875.9862400000011</v>
      </c>
      <c r="T29" s="22">
        <f t="shared" si="36"/>
        <v>6240.9266800000005</v>
      </c>
      <c r="U29" s="22">
        <f t="shared" si="37"/>
        <v>74891.120160000006</v>
      </c>
    </row>
    <row r="30" spans="1:21" x14ac:dyDescent="0.3">
      <c r="A30" s="21">
        <v>15</v>
      </c>
      <c r="B30" s="22">
        <v>5278.07</v>
      </c>
      <c r="C30" s="22">
        <f t="shared" si="31"/>
        <v>5916.7164699999994</v>
      </c>
      <c r="D30" s="22">
        <f t="shared" si="32"/>
        <v>6027.5559400000002</v>
      </c>
      <c r="E30" s="22">
        <f t="shared" si="33"/>
        <v>6143.6734800000004</v>
      </c>
      <c r="F30" s="22">
        <f t="shared" si="34"/>
        <v>6254.5129500000003</v>
      </c>
      <c r="G30" s="22">
        <f t="shared" si="19"/>
        <v>6354.7962799999996</v>
      </c>
      <c r="H30" s="22">
        <f t="shared" si="20"/>
        <v>6423.4111899999998</v>
      </c>
      <c r="I30" s="22">
        <f t="shared" si="21"/>
        <v>6492.0260999999991</v>
      </c>
      <c r="J30" s="22">
        <f t="shared" si="22"/>
        <v>6560.6410100000003</v>
      </c>
      <c r="K30" s="22">
        <f t="shared" si="23"/>
        <v>6629.2559199999996</v>
      </c>
      <c r="L30" s="22">
        <f t="shared" si="24"/>
        <v>6697.8708299999998</v>
      </c>
      <c r="M30" s="22">
        <f t="shared" si="25"/>
        <v>6766.4857400000001</v>
      </c>
      <c r="N30" s="22">
        <f t="shared" si="26"/>
        <v>6835.1006499999994</v>
      </c>
      <c r="O30" s="22">
        <f t="shared" si="27"/>
        <v>6903.7155599999996</v>
      </c>
      <c r="P30" s="22">
        <f t="shared" si="28"/>
        <v>6972.330469999999</v>
      </c>
      <c r="Q30" s="22">
        <f t="shared" si="29"/>
        <v>7030.3892399999995</v>
      </c>
      <c r="R30" s="22">
        <f t="shared" si="30"/>
        <v>7072.6138000000001</v>
      </c>
      <c r="S30" s="30">
        <f t="shared" si="35"/>
        <v>7114.8383599999997</v>
      </c>
      <c r="T30" s="22">
        <f t="shared" si="36"/>
        <v>6457.718644999999</v>
      </c>
      <c r="U30" s="22">
        <f t="shared" si="37"/>
        <v>77492.623739999981</v>
      </c>
    </row>
    <row r="31" spans="1:21" x14ac:dyDescent="0.3">
      <c r="A31" s="21">
        <v>16</v>
      </c>
      <c r="B31" s="22">
        <v>5446.55</v>
      </c>
      <c r="C31" s="22">
        <f t="shared" si="31"/>
        <v>6105.5825500000001</v>
      </c>
      <c r="D31" s="22">
        <f t="shared" si="32"/>
        <v>6219.9601000000011</v>
      </c>
      <c r="E31" s="22">
        <f t="shared" si="33"/>
        <v>6339.784200000001</v>
      </c>
      <c r="F31" s="22">
        <f t="shared" si="34"/>
        <v>6454.1617500000002</v>
      </c>
      <c r="G31" s="22">
        <f t="shared" si="19"/>
        <v>6557.6462000000001</v>
      </c>
      <c r="H31" s="22">
        <f t="shared" si="20"/>
        <v>6628.4513500000003</v>
      </c>
      <c r="I31" s="22">
        <f t="shared" si="21"/>
        <v>6699.2565000000004</v>
      </c>
      <c r="J31" s="22">
        <f t="shared" si="22"/>
        <v>6770.0616500000006</v>
      </c>
      <c r="K31" s="22">
        <f t="shared" si="23"/>
        <v>6840.8667999999998</v>
      </c>
      <c r="L31" s="22">
        <f t="shared" si="24"/>
        <v>6911.6719500000008</v>
      </c>
      <c r="M31" s="22">
        <f t="shared" si="25"/>
        <v>6982.4771000000001</v>
      </c>
      <c r="N31" s="22">
        <f t="shared" si="26"/>
        <v>7053.2822499999993</v>
      </c>
      <c r="O31" s="22">
        <f t="shared" si="27"/>
        <v>7124.0874000000003</v>
      </c>
      <c r="P31" s="22">
        <f t="shared" si="28"/>
        <v>7194.8925499999996</v>
      </c>
      <c r="Q31" s="22">
        <f t="shared" si="29"/>
        <v>7254.8046000000004</v>
      </c>
      <c r="R31" s="22">
        <f t="shared" si="30"/>
        <v>7298.3770000000004</v>
      </c>
      <c r="S31" s="30">
        <f t="shared" si="35"/>
        <v>7341.9494000000004</v>
      </c>
      <c r="T31" s="22">
        <f t="shared" si="36"/>
        <v>6663.8539250000003</v>
      </c>
      <c r="U31" s="22">
        <f t="shared" si="37"/>
        <v>79966.247100000008</v>
      </c>
    </row>
    <row r="32" spans="1:21" x14ac:dyDescent="0.3">
      <c r="A32" s="21">
        <v>17</v>
      </c>
      <c r="B32" s="22">
        <v>5869.78</v>
      </c>
      <c r="C32" s="22">
        <f t="shared" si="31"/>
        <v>6580.0233799999987</v>
      </c>
      <c r="D32" s="22">
        <f t="shared" si="32"/>
        <v>6703.2887600000004</v>
      </c>
      <c r="E32" s="22">
        <f t="shared" si="33"/>
        <v>6832.4239200000002</v>
      </c>
      <c r="F32" s="22">
        <f t="shared" si="34"/>
        <v>6955.6892999999991</v>
      </c>
      <c r="G32" s="22">
        <f t="shared" si="19"/>
        <v>7067.2151199999989</v>
      </c>
      <c r="H32" s="22">
        <f t="shared" si="20"/>
        <v>7143.5222599999997</v>
      </c>
      <c r="I32" s="22">
        <f t="shared" si="21"/>
        <v>7219.8293999999987</v>
      </c>
      <c r="J32" s="22">
        <f t="shared" si="22"/>
        <v>7296.1365399999995</v>
      </c>
      <c r="K32" s="22">
        <f t="shared" si="23"/>
        <v>7372.4436799999994</v>
      </c>
      <c r="L32" s="22">
        <f t="shared" si="24"/>
        <v>7448.7508200000002</v>
      </c>
      <c r="M32" s="22">
        <f t="shared" si="25"/>
        <v>7525.0579599999992</v>
      </c>
      <c r="N32" s="22">
        <f t="shared" si="26"/>
        <v>7601.3650999999991</v>
      </c>
      <c r="O32" s="22">
        <f t="shared" si="27"/>
        <v>7677.6722399999999</v>
      </c>
      <c r="P32" s="22">
        <f t="shared" si="28"/>
        <v>7753.9793799999989</v>
      </c>
      <c r="Q32" s="22">
        <f t="shared" si="29"/>
        <v>7818.5469599999997</v>
      </c>
      <c r="R32" s="22">
        <f t="shared" si="30"/>
        <v>7865.5051999999996</v>
      </c>
      <c r="S32" s="30">
        <f t="shared" si="35"/>
        <v>7912.4634399999995</v>
      </c>
      <c r="T32" s="22">
        <f t="shared" si="36"/>
        <v>7181.6758299999992</v>
      </c>
      <c r="U32" s="22">
        <f t="shared" si="37"/>
        <v>86180.109959999987</v>
      </c>
    </row>
    <row r="33" spans="1:21" x14ac:dyDescent="0.3">
      <c r="A33" s="21">
        <v>18</v>
      </c>
      <c r="B33" s="22">
        <v>6141.81</v>
      </c>
      <c r="C33" s="22">
        <f t="shared" si="31"/>
        <v>6884.9690100000007</v>
      </c>
      <c r="D33" s="22">
        <f t="shared" si="32"/>
        <v>7013.9470200000014</v>
      </c>
      <c r="E33" s="22">
        <f t="shared" si="33"/>
        <v>7149.0668400000013</v>
      </c>
      <c r="F33" s="22">
        <f t="shared" si="34"/>
        <v>7278.0448500000011</v>
      </c>
      <c r="G33" s="22">
        <f t="shared" si="19"/>
        <v>7394.7392400000008</v>
      </c>
      <c r="H33" s="22">
        <f t="shared" si="20"/>
        <v>7474.5827700000009</v>
      </c>
      <c r="I33" s="22">
        <f t="shared" si="21"/>
        <v>7554.4263000000001</v>
      </c>
      <c r="J33" s="22">
        <f t="shared" si="22"/>
        <v>7634.2698300000011</v>
      </c>
      <c r="K33" s="22">
        <f t="shared" si="23"/>
        <v>7714.1133600000003</v>
      </c>
      <c r="L33" s="22">
        <f t="shared" si="24"/>
        <v>7793.9568900000013</v>
      </c>
      <c r="M33" s="22">
        <f t="shared" si="25"/>
        <v>7873.8004200000005</v>
      </c>
      <c r="N33" s="22">
        <f t="shared" si="26"/>
        <v>7953.6439500000006</v>
      </c>
      <c r="O33" s="22">
        <f t="shared" si="27"/>
        <v>8033.4874800000007</v>
      </c>
      <c r="P33" s="22">
        <f t="shared" si="28"/>
        <v>8113.3310100000008</v>
      </c>
      <c r="Q33" s="22">
        <f t="shared" si="29"/>
        <v>8180.8909200000007</v>
      </c>
      <c r="R33" s="22">
        <f t="shared" si="30"/>
        <v>8230.0254000000004</v>
      </c>
      <c r="S33" s="30">
        <f t="shared" si="35"/>
        <v>8279.1598800000011</v>
      </c>
      <c r="T33" s="22">
        <f t="shared" si="36"/>
        <v>7514.5045350000009</v>
      </c>
      <c r="U33" s="22">
        <f t="shared" si="37"/>
        <v>90174.054420000015</v>
      </c>
    </row>
    <row r="34" spans="1:21" x14ac:dyDescent="0.3">
      <c r="A34" s="21">
        <v>19</v>
      </c>
      <c r="B34" s="22">
        <v>6395.91</v>
      </c>
      <c r="C34" s="22">
        <f t="shared" si="31"/>
        <v>7169.8151099999995</v>
      </c>
      <c r="D34" s="22">
        <f t="shared" si="32"/>
        <v>7304.1292200000007</v>
      </c>
      <c r="E34" s="22">
        <f t="shared" si="33"/>
        <v>7444.8392400000002</v>
      </c>
      <c r="F34" s="22">
        <f t="shared" si="34"/>
        <v>7579.1533500000005</v>
      </c>
      <c r="G34" s="22">
        <f t="shared" si="19"/>
        <v>7700.6756399999995</v>
      </c>
      <c r="H34" s="22">
        <f t="shared" si="20"/>
        <v>7783.8224700000001</v>
      </c>
      <c r="I34" s="22">
        <f t="shared" si="21"/>
        <v>7866.9692999999997</v>
      </c>
      <c r="J34" s="22">
        <f t="shared" si="22"/>
        <v>7950.1161300000003</v>
      </c>
      <c r="K34" s="22">
        <f t="shared" si="23"/>
        <v>8033.26296</v>
      </c>
      <c r="L34" s="22">
        <f t="shared" si="24"/>
        <v>8116.4097900000006</v>
      </c>
      <c r="M34" s="22">
        <f t="shared" si="25"/>
        <v>8199.5566199999994</v>
      </c>
      <c r="N34" s="22">
        <f t="shared" si="26"/>
        <v>8282.7034499999991</v>
      </c>
      <c r="O34" s="22">
        <f t="shared" si="27"/>
        <v>8365.8502799999987</v>
      </c>
      <c r="P34" s="22">
        <f t="shared" si="28"/>
        <v>8448.9971100000002</v>
      </c>
      <c r="Q34" s="22">
        <f t="shared" si="29"/>
        <v>8519.3521199999996</v>
      </c>
      <c r="R34" s="22">
        <f t="shared" si="30"/>
        <v>8570.519400000001</v>
      </c>
      <c r="S34" s="30">
        <f t="shared" si="35"/>
        <v>8621.6866800000007</v>
      </c>
      <c r="T34" s="22">
        <f t="shared" si="36"/>
        <v>7825.3958849999999</v>
      </c>
      <c r="U34" s="22">
        <f t="shared" si="37"/>
        <v>93904.750620000006</v>
      </c>
    </row>
    <row r="35" spans="1:21" x14ac:dyDescent="0.3">
      <c r="A35" s="21">
        <v>20</v>
      </c>
      <c r="B35" s="22">
        <v>6643.12</v>
      </c>
      <c r="C35" s="22">
        <f t="shared" si="31"/>
        <v>7446.9375199999995</v>
      </c>
      <c r="D35" s="22">
        <f t="shared" si="32"/>
        <v>7586.4430400000001</v>
      </c>
      <c r="E35" s="22">
        <f t="shared" si="33"/>
        <v>7732.5916800000005</v>
      </c>
      <c r="F35" s="22">
        <f t="shared" si="34"/>
        <v>7872.0972000000002</v>
      </c>
      <c r="G35" s="22">
        <f t="shared" si="19"/>
        <v>7998.3164799999995</v>
      </c>
      <c r="H35" s="22">
        <f t="shared" si="20"/>
        <v>8084.6770400000005</v>
      </c>
      <c r="I35" s="22">
        <f t="shared" si="21"/>
        <v>8171.0375999999997</v>
      </c>
      <c r="J35" s="22">
        <f t="shared" si="22"/>
        <v>8257.3981600000006</v>
      </c>
      <c r="K35" s="22">
        <f t="shared" si="23"/>
        <v>8343.7587199999998</v>
      </c>
      <c r="L35" s="22">
        <f t="shared" si="24"/>
        <v>8430.1192800000008</v>
      </c>
      <c r="M35" s="22">
        <f t="shared" si="25"/>
        <v>8516.47984</v>
      </c>
      <c r="N35" s="22">
        <f t="shared" si="26"/>
        <v>8602.8403999999991</v>
      </c>
      <c r="O35" s="22">
        <f t="shared" si="27"/>
        <v>8689.2009600000001</v>
      </c>
      <c r="P35" s="22">
        <f t="shared" si="28"/>
        <v>8775.5615199999993</v>
      </c>
      <c r="Q35" s="22">
        <f t="shared" si="29"/>
        <v>8848.6358400000008</v>
      </c>
      <c r="R35" s="22">
        <f t="shared" si="30"/>
        <v>8901.7808000000005</v>
      </c>
      <c r="S35" s="30">
        <f t="shared" si="35"/>
        <v>8954.9257600000001</v>
      </c>
      <c r="T35" s="22">
        <f t="shared" si="36"/>
        <v>8127.8573200000001</v>
      </c>
      <c r="U35" s="22">
        <f t="shared" si="37"/>
        <v>97534.287840000005</v>
      </c>
    </row>
    <row r="36" spans="1:21" x14ac:dyDescent="0.3">
      <c r="A36" s="23">
        <v>21</v>
      </c>
      <c r="B36" s="24">
        <v>6927.41</v>
      </c>
      <c r="C36" s="24">
        <f t="shared" si="31"/>
        <v>7765.6266100000003</v>
      </c>
      <c r="D36" s="24">
        <f t="shared" si="32"/>
        <v>7911.1022200000007</v>
      </c>
      <c r="E36" s="24">
        <f t="shared" si="33"/>
        <v>8063.5052400000013</v>
      </c>
      <c r="F36" s="24">
        <f t="shared" si="34"/>
        <v>8208.9808499999999</v>
      </c>
      <c r="G36" s="24">
        <f t="shared" si="19"/>
        <v>8340.601639999999</v>
      </c>
      <c r="H36" s="24">
        <f t="shared" si="20"/>
        <v>8430.6579700000002</v>
      </c>
      <c r="I36" s="24">
        <f t="shared" si="21"/>
        <v>8520.7142999999996</v>
      </c>
      <c r="J36" s="24">
        <f t="shared" si="22"/>
        <v>8610.7706300000009</v>
      </c>
      <c r="K36" s="24">
        <f t="shared" si="23"/>
        <v>8700.8269600000003</v>
      </c>
      <c r="L36" s="24">
        <f t="shared" si="24"/>
        <v>8790.8832900000016</v>
      </c>
      <c r="M36" s="24">
        <f t="shared" si="25"/>
        <v>8880.939620000001</v>
      </c>
      <c r="N36" s="24">
        <f t="shared" si="26"/>
        <v>8970.9959499999986</v>
      </c>
      <c r="O36" s="24">
        <f t="shared" si="27"/>
        <v>9061.0522799999999</v>
      </c>
      <c r="P36" s="24">
        <f t="shared" si="28"/>
        <v>9151.1086099999993</v>
      </c>
      <c r="Q36" s="24">
        <f t="shared" si="29"/>
        <v>9227.3101200000001</v>
      </c>
      <c r="R36" s="24">
        <f t="shared" si="30"/>
        <v>9282.7294000000002</v>
      </c>
      <c r="S36" s="31">
        <f t="shared" si="35"/>
        <v>9338.1486800000002</v>
      </c>
      <c r="T36" s="24">
        <f t="shared" si="36"/>
        <v>8475.6861349999999</v>
      </c>
      <c r="U36" s="24">
        <f t="shared" si="37"/>
        <v>101708.23362</v>
      </c>
    </row>
    <row r="38" spans="1:21" ht="13.5" thickBot="1" x14ac:dyDescent="0.35">
      <c r="A38" s="6" t="s">
        <v>48</v>
      </c>
      <c r="B38" s="6"/>
      <c r="C38" s="6"/>
      <c r="D38" s="6"/>
      <c r="E38" s="6"/>
      <c r="F38" s="6"/>
      <c r="G38" s="6" t="str">
        <f>'[1]01082014 tarkentava ves'!G53</f>
        <v>13 - 17 år 11 månaders erfarenhet (erfarenhetsdel 7 %)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</row>
    <row r="39" spans="1:21" ht="38" customHeight="1" x14ac:dyDescent="0.3">
      <c r="A39" s="49" t="s">
        <v>7</v>
      </c>
      <c r="B39" s="49" t="s">
        <v>8</v>
      </c>
      <c r="C39" s="46" t="str">
        <f>C5</f>
        <v>Suorituspisteet ja suoritustasot /</v>
      </c>
      <c r="D39" s="47" t="s">
        <v>70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25"/>
      <c r="T39" s="10" t="s">
        <v>10</v>
      </c>
      <c r="U39" s="11"/>
    </row>
    <row r="40" spans="1:21" ht="13.5" thickBot="1" x14ac:dyDescent="0.35">
      <c r="A40" s="50"/>
      <c r="B40" s="50"/>
      <c r="C40" s="12" t="s">
        <v>11</v>
      </c>
      <c r="D40" s="13" t="s">
        <v>12</v>
      </c>
      <c r="E40" s="12" t="s">
        <v>13</v>
      </c>
      <c r="F40" s="13" t="s">
        <v>14</v>
      </c>
      <c r="G40" s="12" t="s">
        <v>15</v>
      </c>
      <c r="H40" s="13" t="s">
        <v>16</v>
      </c>
      <c r="I40" s="12" t="s">
        <v>17</v>
      </c>
      <c r="J40" s="13" t="s">
        <v>18</v>
      </c>
      <c r="K40" s="12" t="s">
        <v>19</v>
      </c>
      <c r="L40" s="13" t="s">
        <v>20</v>
      </c>
      <c r="M40" s="12" t="s">
        <v>21</v>
      </c>
      <c r="N40" s="13" t="s">
        <v>22</v>
      </c>
      <c r="O40" s="12" t="s">
        <v>23</v>
      </c>
      <c r="P40" s="13" t="s">
        <v>24</v>
      </c>
      <c r="Q40" s="12" t="s">
        <v>25</v>
      </c>
      <c r="R40" s="13" t="s">
        <v>26</v>
      </c>
      <c r="S40" s="12" t="s">
        <v>27</v>
      </c>
      <c r="T40" s="14"/>
      <c r="U40" s="15"/>
    </row>
    <row r="41" spans="1:21" ht="26" x14ac:dyDescent="0.3">
      <c r="A41" s="51"/>
      <c r="B41" s="51"/>
      <c r="C41" s="16" t="s">
        <v>28</v>
      </c>
      <c r="D41" s="17" t="s">
        <v>29</v>
      </c>
      <c r="E41" s="16" t="s">
        <v>30</v>
      </c>
      <c r="F41" s="17" t="s">
        <v>31</v>
      </c>
      <c r="G41" s="16" t="s">
        <v>32</v>
      </c>
      <c r="H41" s="17" t="s">
        <v>33</v>
      </c>
      <c r="I41" s="16" t="s">
        <v>34</v>
      </c>
      <c r="J41" s="17" t="s">
        <v>35</v>
      </c>
      <c r="K41" s="16" t="s">
        <v>36</v>
      </c>
      <c r="L41" s="17" t="s">
        <v>37</v>
      </c>
      <c r="M41" s="16" t="s">
        <v>38</v>
      </c>
      <c r="N41" s="17" t="s">
        <v>39</v>
      </c>
      <c r="O41" s="16" t="s">
        <v>40</v>
      </c>
      <c r="P41" s="17" t="s">
        <v>41</v>
      </c>
      <c r="Q41" s="16" t="s">
        <v>42</v>
      </c>
      <c r="R41" s="17" t="s">
        <v>43</v>
      </c>
      <c r="S41" s="16" t="s">
        <v>44</v>
      </c>
      <c r="T41" s="28" t="s">
        <v>45</v>
      </c>
      <c r="U41" s="29" t="s">
        <v>46</v>
      </c>
    </row>
    <row r="42" spans="1:21" x14ac:dyDescent="0.3">
      <c r="A42" s="21">
        <v>10</v>
      </c>
      <c r="B42" s="22">
        <v>3701.55</v>
      </c>
      <c r="C42" s="22">
        <f>SUM(B42*1.081+B42*0.07)</f>
        <v>4260.48405</v>
      </c>
      <c r="D42" s="22">
        <f>SUM(B42*1.102+B42*0.07)</f>
        <v>4338.2166000000007</v>
      </c>
      <c r="E42" s="22">
        <f>SUM(B42*1.124+B42*0.07)</f>
        <v>4419.6507000000011</v>
      </c>
      <c r="F42" s="22">
        <f>SUM(B42*1.145+B42*0.07)</f>
        <v>4497.3832500000008</v>
      </c>
      <c r="G42" s="22">
        <f t="shared" ref="G42:G53" si="38">SUM(B42*1.164+B42*0.07)</f>
        <v>4567.7127</v>
      </c>
      <c r="H42" s="22">
        <f t="shared" ref="H42:H53" si="39">SUM(B42*1.177+B42*0.07)</f>
        <v>4615.8328500000007</v>
      </c>
      <c r="I42" s="22">
        <f t="shared" ref="I42:I53" si="40">SUM(B42*1.19+B42*0.07)</f>
        <v>4663.9530000000004</v>
      </c>
      <c r="J42" s="22">
        <f t="shared" ref="J42:J53" si="41">SUM(B42*1.203+B42*0.07)</f>
        <v>4712.0731500000011</v>
      </c>
      <c r="K42" s="22">
        <f t="shared" ref="K42:K53" si="42">SUM(B42*1.216+B42*0.07)</f>
        <v>4760.1933000000008</v>
      </c>
      <c r="L42" s="22">
        <f t="shared" ref="L42:L53" si="43">SUM(B42*1.229+B42*0.07)</f>
        <v>4808.3134500000006</v>
      </c>
      <c r="M42" s="22">
        <f t="shared" ref="M42:M53" si="44">SUM(B42*1.242+B42*0.07)</f>
        <v>4856.4336000000003</v>
      </c>
      <c r="N42" s="22">
        <f t="shared" ref="N42:N53" si="45">SUM(B42*1.255+B42*0.07)</f>
        <v>4904.55375</v>
      </c>
      <c r="O42" s="22">
        <f t="shared" ref="O42:O53" si="46">SUM(B42*1.268+B42*0.07)</f>
        <v>4952.6739000000007</v>
      </c>
      <c r="P42" s="22">
        <f t="shared" ref="P42:P53" si="47">SUM(B42*1.281+B42*0.07)</f>
        <v>5000.7940500000004</v>
      </c>
      <c r="Q42" s="22">
        <f t="shared" ref="Q42:Q53" si="48">SUM(B42*1.292+B42*0.07)</f>
        <v>5041.5111000000006</v>
      </c>
      <c r="R42" s="22">
        <f t="shared" ref="R42:R53" si="49">SUM(B42*1.3+B42*0.07)</f>
        <v>5071.1235000000006</v>
      </c>
      <c r="S42" s="30">
        <f>SUM(B42*1.308+B42*0.07)</f>
        <v>5100.7359000000006</v>
      </c>
      <c r="T42" s="22">
        <f>AVERAGE(G42:J42)</f>
        <v>4639.8929250000001</v>
      </c>
      <c r="U42" s="22">
        <f>T42*12</f>
        <v>55678.715100000001</v>
      </c>
    </row>
    <row r="43" spans="1:21" x14ac:dyDescent="0.3">
      <c r="A43" s="21">
        <v>11</v>
      </c>
      <c r="B43" s="22">
        <v>4392.04</v>
      </c>
      <c r="C43" s="22">
        <f t="shared" ref="C43:C53" si="50">SUM(B43*1.081+B43*0.07)</f>
        <v>5055.2380399999993</v>
      </c>
      <c r="D43" s="22">
        <f t="shared" ref="D43:D53" si="51">SUM(B43*1.102+B43*0.07)</f>
        <v>5147.4708799999999</v>
      </c>
      <c r="E43" s="22">
        <f t="shared" ref="E43:E53" si="52">SUM(B43*1.124+B43*0.07)</f>
        <v>5244.0957600000002</v>
      </c>
      <c r="F43" s="22">
        <f t="shared" ref="F43:F53" si="53">SUM(B43*1.145+B43*0.07)</f>
        <v>5336.3285999999998</v>
      </c>
      <c r="G43" s="22">
        <f t="shared" si="38"/>
        <v>5419.7773599999991</v>
      </c>
      <c r="H43" s="22">
        <f t="shared" si="39"/>
        <v>5476.8738800000001</v>
      </c>
      <c r="I43" s="22">
        <f t="shared" si="40"/>
        <v>5533.9703999999992</v>
      </c>
      <c r="J43" s="22">
        <f t="shared" si="41"/>
        <v>5591.0669200000002</v>
      </c>
      <c r="K43" s="22">
        <f t="shared" si="42"/>
        <v>5648.1634399999994</v>
      </c>
      <c r="L43" s="22">
        <f t="shared" si="43"/>
        <v>5705.2599600000003</v>
      </c>
      <c r="M43" s="22">
        <f t="shared" si="44"/>
        <v>5762.3564799999995</v>
      </c>
      <c r="N43" s="22">
        <f t="shared" si="45"/>
        <v>5819.4529999999995</v>
      </c>
      <c r="O43" s="22">
        <f t="shared" si="46"/>
        <v>5876.5495199999996</v>
      </c>
      <c r="P43" s="22">
        <f t="shared" si="47"/>
        <v>5933.6460399999996</v>
      </c>
      <c r="Q43" s="22">
        <f t="shared" si="48"/>
        <v>5981.9584800000002</v>
      </c>
      <c r="R43" s="22">
        <f t="shared" si="49"/>
        <v>6017.0947999999999</v>
      </c>
      <c r="S43" s="30">
        <f t="shared" ref="S43:S53" si="54">SUM(B43*1.308+B43*0.07)</f>
        <v>6052.2311200000004</v>
      </c>
      <c r="T43" s="22">
        <f t="shared" ref="T43:T53" si="55">AVERAGE(G43:J43)</f>
        <v>5505.4221399999997</v>
      </c>
      <c r="U43" s="22">
        <f>T43*12</f>
        <v>66065.06568</v>
      </c>
    </row>
    <row r="44" spans="1:21" x14ac:dyDescent="0.3">
      <c r="A44" s="21">
        <v>12</v>
      </c>
      <c r="B44" s="22">
        <v>4673.22</v>
      </c>
      <c r="C44" s="22">
        <f t="shared" si="50"/>
        <v>5378.8762200000001</v>
      </c>
      <c r="D44" s="22">
        <f t="shared" si="51"/>
        <v>5477.0138400000005</v>
      </c>
      <c r="E44" s="22">
        <f t="shared" si="52"/>
        <v>5579.8246800000006</v>
      </c>
      <c r="F44" s="22">
        <f t="shared" si="53"/>
        <v>5677.9623000000001</v>
      </c>
      <c r="G44" s="22">
        <f t="shared" si="38"/>
        <v>5766.7534799999994</v>
      </c>
      <c r="H44" s="22">
        <f t="shared" si="39"/>
        <v>5827.5053400000006</v>
      </c>
      <c r="I44" s="22">
        <f t="shared" si="40"/>
        <v>5888.2572</v>
      </c>
      <c r="J44" s="22">
        <f t="shared" si="41"/>
        <v>5949.0090600000003</v>
      </c>
      <c r="K44" s="22">
        <f t="shared" si="42"/>
        <v>6009.7609199999997</v>
      </c>
      <c r="L44" s="22">
        <f t="shared" si="43"/>
        <v>6070.5127800000009</v>
      </c>
      <c r="M44" s="22">
        <f t="shared" si="44"/>
        <v>6131.2646400000003</v>
      </c>
      <c r="N44" s="22">
        <f t="shared" si="45"/>
        <v>6192.0164999999997</v>
      </c>
      <c r="O44" s="22">
        <f t="shared" si="46"/>
        <v>6252.76836</v>
      </c>
      <c r="P44" s="22">
        <f t="shared" si="47"/>
        <v>6313.5202199999994</v>
      </c>
      <c r="Q44" s="22">
        <f t="shared" si="48"/>
        <v>6364.9256400000004</v>
      </c>
      <c r="R44" s="22">
        <f t="shared" si="49"/>
        <v>6402.3114000000005</v>
      </c>
      <c r="S44" s="30">
        <f t="shared" si="54"/>
        <v>6439.6971600000006</v>
      </c>
      <c r="T44" s="22">
        <f t="shared" si="55"/>
        <v>5857.8812699999999</v>
      </c>
      <c r="U44" s="22">
        <f t="shared" ref="U44:U53" si="56">T44*12</f>
        <v>70294.575240000006</v>
      </c>
    </row>
    <row r="45" spans="1:21" x14ac:dyDescent="0.3">
      <c r="A45" s="21">
        <v>13</v>
      </c>
      <c r="B45" s="22">
        <v>4909.04</v>
      </c>
      <c r="C45" s="22">
        <f t="shared" si="50"/>
        <v>5650.3050400000002</v>
      </c>
      <c r="D45" s="22">
        <f t="shared" si="51"/>
        <v>5753.3948800000007</v>
      </c>
      <c r="E45" s="22">
        <f t="shared" si="52"/>
        <v>5861.3937600000008</v>
      </c>
      <c r="F45" s="22">
        <f t="shared" si="53"/>
        <v>5964.4836000000005</v>
      </c>
      <c r="G45" s="22">
        <f t="shared" si="38"/>
        <v>6057.7553600000001</v>
      </c>
      <c r="H45" s="22">
        <f t="shared" si="39"/>
        <v>6121.5728800000006</v>
      </c>
      <c r="I45" s="22">
        <f t="shared" si="40"/>
        <v>6185.3904000000002</v>
      </c>
      <c r="J45" s="22">
        <f t="shared" si="41"/>
        <v>6249.2079200000007</v>
      </c>
      <c r="K45" s="22">
        <f t="shared" si="42"/>
        <v>6313.0254400000003</v>
      </c>
      <c r="L45" s="22">
        <f t="shared" si="43"/>
        <v>6376.8429600000009</v>
      </c>
      <c r="M45" s="22">
        <f t="shared" si="44"/>
        <v>6440.6604800000005</v>
      </c>
      <c r="N45" s="22">
        <f t="shared" si="45"/>
        <v>6504.4780000000001</v>
      </c>
      <c r="O45" s="22">
        <f t="shared" si="46"/>
        <v>6568.2955200000006</v>
      </c>
      <c r="P45" s="22">
        <f t="shared" si="47"/>
        <v>6632.1130400000002</v>
      </c>
      <c r="Q45" s="22">
        <f t="shared" si="48"/>
        <v>6686.1124800000007</v>
      </c>
      <c r="R45" s="22">
        <f t="shared" si="49"/>
        <v>6725.3848000000007</v>
      </c>
      <c r="S45" s="30">
        <f t="shared" si="54"/>
        <v>6764.6571200000008</v>
      </c>
      <c r="T45" s="22">
        <f t="shared" si="55"/>
        <v>6153.48164</v>
      </c>
      <c r="U45" s="22">
        <f t="shared" si="56"/>
        <v>73841.779680000007</v>
      </c>
    </row>
    <row r="46" spans="1:21" x14ac:dyDescent="0.3">
      <c r="A46" s="21">
        <v>14</v>
      </c>
      <c r="B46" s="22">
        <v>5100.88</v>
      </c>
      <c r="C46" s="22">
        <f t="shared" si="50"/>
        <v>5871.1128799999997</v>
      </c>
      <c r="D46" s="22">
        <f t="shared" si="51"/>
        <v>5978.2313600000007</v>
      </c>
      <c r="E46" s="22">
        <f t="shared" si="52"/>
        <v>6090.4507200000007</v>
      </c>
      <c r="F46" s="22">
        <f t="shared" si="53"/>
        <v>6197.5691999999999</v>
      </c>
      <c r="G46" s="22">
        <f t="shared" si="38"/>
        <v>6294.4859200000001</v>
      </c>
      <c r="H46" s="22">
        <f t="shared" si="39"/>
        <v>6360.7973600000005</v>
      </c>
      <c r="I46" s="22">
        <f t="shared" si="40"/>
        <v>6427.1088</v>
      </c>
      <c r="J46" s="22">
        <f t="shared" si="41"/>
        <v>6493.4202400000004</v>
      </c>
      <c r="K46" s="22">
        <f t="shared" si="42"/>
        <v>6559.7316799999999</v>
      </c>
      <c r="L46" s="22">
        <f t="shared" si="43"/>
        <v>6626.0431200000003</v>
      </c>
      <c r="M46" s="22">
        <f t="shared" si="44"/>
        <v>6692.3545599999998</v>
      </c>
      <c r="N46" s="22">
        <f t="shared" si="45"/>
        <v>6758.6659999999993</v>
      </c>
      <c r="O46" s="22">
        <f t="shared" si="46"/>
        <v>6824.9774400000006</v>
      </c>
      <c r="P46" s="22">
        <f t="shared" si="47"/>
        <v>6891.2888800000001</v>
      </c>
      <c r="Q46" s="22">
        <f t="shared" si="48"/>
        <v>6947.3985600000005</v>
      </c>
      <c r="R46" s="22">
        <f t="shared" si="49"/>
        <v>6988.2056000000002</v>
      </c>
      <c r="S46" s="30">
        <f t="shared" si="54"/>
        <v>7029.0126400000008</v>
      </c>
      <c r="T46" s="22">
        <f t="shared" si="55"/>
        <v>6393.9530799999993</v>
      </c>
      <c r="U46" s="22">
        <f t="shared" si="56"/>
        <v>76727.436959999992</v>
      </c>
    </row>
    <row r="47" spans="1:21" x14ac:dyDescent="0.3">
      <c r="A47" s="21">
        <v>15</v>
      </c>
      <c r="B47" s="22">
        <v>5278.07</v>
      </c>
      <c r="C47" s="22">
        <f t="shared" si="50"/>
        <v>6075.0585699999992</v>
      </c>
      <c r="D47" s="22">
        <f t="shared" si="51"/>
        <v>6185.89804</v>
      </c>
      <c r="E47" s="22">
        <f t="shared" si="52"/>
        <v>6302.0155800000002</v>
      </c>
      <c r="F47" s="22">
        <f t="shared" si="53"/>
        <v>6412.8550500000001</v>
      </c>
      <c r="G47" s="22">
        <f t="shared" si="38"/>
        <v>6513.1383799999994</v>
      </c>
      <c r="H47" s="22">
        <f t="shared" si="39"/>
        <v>6581.7532899999997</v>
      </c>
      <c r="I47" s="22">
        <f t="shared" si="40"/>
        <v>6650.368199999999</v>
      </c>
      <c r="J47" s="22">
        <f t="shared" si="41"/>
        <v>6718.9831100000001</v>
      </c>
      <c r="K47" s="22">
        <f t="shared" si="42"/>
        <v>6787.5980199999995</v>
      </c>
      <c r="L47" s="22">
        <f t="shared" si="43"/>
        <v>6856.2129299999997</v>
      </c>
      <c r="M47" s="22">
        <f t="shared" si="44"/>
        <v>6924.8278399999999</v>
      </c>
      <c r="N47" s="22">
        <f t="shared" si="45"/>
        <v>6993.4427499999993</v>
      </c>
      <c r="O47" s="22">
        <f t="shared" si="46"/>
        <v>7062.0576599999995</v>
      </c>
      <c r="P47" s="22">
        <f t="shared" si="47"/>
        <v>7130.6725699999988</v>
      </c>
      <c r="Q47" s="22">
        <f t="shared" si="48"/>
        <v>7188.7313399999994</v>
      </c>
      <c r="R47" s="22">
        <f t="shared" si="49"/>
        <v>7230.9558999999999</v>
      </c>
      <c r="S47" s="30">
        <f t="shared" si="54"/>
        <v>7273.1804599999996</v>
      </c>
      <c r="T47" s="22">
        <f t="shared" si="55"/>
        <v>6616.0607449999998</v>
      </c>
      <c r="U47" s="22">
        <f t="shared" si="56"/>
        <v>79392.728940000001</v>
      </c>
    </row>
    <row r="48" spans="1:21" x14ac:dyDescent="0.3">
      <c r="A48" s="21">
        <v>16</v>
      </c>
      <c r="B48" s="22">
        <v>5446.55</v>
      </c>
      <c r="C48" s="22">
        <f t="shared" si="50"/>
        <v>6268.9790499999999</v>
      </c>
      <c r="D48" s="22">
        <f t="shared" si="51"/>
        <v>6383.356600000001</v>
      </c>
      <c r="E48" s="22">
        <f t="shared" si="52"/>
        <v>6503.1807000000008</v>
      </c>
      <c r="F48" s="22">
        <f t="shared" si="53"/>
        <v>6617.55825</v>
      </c>
      <c r="G48" s="22">
        <f t="shared" si="38"/>
        <v>6721.0427</v>
      </c>
      <c r="H48" s="22">
        <f t="shared" si="39"/>
        <v>6791.8478500000001</v>
      </c>
      <c r="I48" s="22">
        <f t="shared" si="40"/>
        <v>6862.6530000000002</v>
      </c>
      <c r="J48" s="22">
        <f t="shared" si="41"/>
        <v>6933.4581500000004</v>
      </c>
      <c r="K48" s="22">
        <f t="shared" si="42"/>
        <v>7004.2632999999996</v>
      </c>
      <c r="L48" s="22">
        <f t="shared" si="43"/>
        <v>7075.0684500000007</v>
      </c>
      <c r="M48" s="22">
        <f t="shared" si="44"/>
        <v>7145.8735999999999</v>
      </c>
      <c r="N48" s="22">
        <f t="shared" si="45"/>
        <v>7216.6787499999991</v>
      </c>
      <c r="O48" s="22">
        <f t="shared" si="46"/>
        <v>7287.4839000000002</v>
      </c>
      <c r="P48" s="22">
        <f t="shared" si="47"/>
        <v>7358.2890499999994</v>
      </c>
      <c r="Q48" s="22">
        <f t="shared" si="48"/>
        <v>7418.2011000000002</v>
      </c>
      <c r="R48" s="22">
        <f t="shared" si="49"/>
        <v>7461.7735000000002</v>
      </c>
      <c r="S48" s="30">
        <f t="shared" si="54"/>
        <v>7505.3459000000003</v>
      </c>
      <c r="T48" s="22">
        <f t="shared" si="55"/>
        <v>6827.2504250000002</v>
      </c>
      <c r="U48" s="22">
        <f t="shared" si="56"/>
        <v>81927.005100000009</v>
      </c>
    </row>
    <row r="49" spans="1:21" x14ac:dyDescent="0.3">
      <c r="A49" s="21">
        <v>17</v>
      </c>
      <c r="B49" s="22">
        <v>5869.78</v>
      </c>
      <c r="C49" s="22">
        <f t="shared" si="50"/>
        <v>6756.1167799999994</v>
      </c>
      <c r="D49" s="22">
        <f t="shared" si="51"/>
        <v>6879.382160000001</v>
      </c>
      <c r="E49" s="22">
        <f t="shared" si="52"/>
        <v>7008.5173200000008</v>
      </c>
      <c r="F49" s="22">
        <f t="shared" si="53"/>
        <v>7131.7826999999997</v>
      </c>
      <c r="G49" s="22">
        <f t="shared" si="38"/>
        <v>7243.3085199999996</v>
      </c>
      <c r="H49" s="22">
        <f t="shared" si="39"/>
        <v>7319.6156600000004</v>
      </c>
      <c r="I49" s="22">
        <f t="shared" si="40"/>
        <v>7395.9227999999994</v>
      </c>
      <c r="J49" s="22">
        <f t="shared" si="41"/>
        <v>7472.2299400000002</v>
      </c>
      <c r="K49" s="22">
        <f t="shared" si="42"/>
        <v>7548.5370800000001</v>
      </c>
      <c r="L49" s="22">
        <f t="shared" si="43"/>
        <v>7624.8442200000009</v>
      </c>
      <c r="M49" s="22">
        <f t="shared" si="44"/>
        <v>7701.1513599999998</v>
      </c>
      <c r="N49" s="22">
        <f t="shared" si="45"/>
        <v>7777.4584999999997</v>
      </c>
      <c r="O49" s="22">
        <f t="shared" si="46"/>
        <v>7853.7656400000005</v>
      </c>
      <c r="P49" s="22">
        <f t="shared" si="47"/>
        <v>7930.0727799999995</v>
      </c>
      <c r="Q49" s="22">
        <f t="shared" si="48"/>
        <v>7994.6403600000003</v>
      </c>
      <c r="R49" s="22">
        <f t="shared" si="49"/>
        <v>8041.5986000000003</v>
      </c>
      <c r="S49" s="30">
        <f t="shared" si="54"/>
        <v>8088.5568400000002</v>
      </c>
      <c r="T49" s="22">
        <f t="shared" si="55"/>
        <v>7357.7692299999999</v>
      </c>
      <c r="U49" s="22">
        <f t="shared" si="56"/>
        <v>88293.230760000006</v>
      </c>
    </row>
    <row r="50" spans="1:21" x14ac:dyDescent="0.3">
      <c r="A50" s="21">
        <v>18</v>
      </c>
      <c r="B50" s="22">
        <v>6141.81</v>
      </c>
      <c r="C50" s="22">
        <f t="shared" si="50"/>
        <v>7069.2233100000003</v>
      </c>
      <c r="D50" s="22">
        <f t="shared" si="51"/>
        <v>7198.201320000001</v>
      </c>
      <c r="E50" s="22">
        <f t="shared" si="52"/>
        <v>7333.3211400000009</v>
      </c>
      <c r="F50" s="22">
        <f t="shared" si="53"/>
        <v>7462.2991500000007</v>
      </c>
      <c r="G50" s="22">
        <f t="shared" si="38"/>
        <v>7578.9935400000004</v>
      </c>
      <c r="H50" s="22">
        <f t="shared" si="39"/>
        <v>7658.8370700000005</v>
      </c>
      <c r="I50" s="22">
        <f t="shared" si="40"/>
        <v>7738.6805999999997</v>
      </c>
      <c r="J50" s="22">
        <f t="shared" si="41"/>
        <v>7818.5241300000007</v>
      </c>
      <c r="K50" s="22">
        <f t="shared" si="42"/>
        <v>7898.3676599999999</v>
      </c>
      <c r="L50" s="22">
        <f t="shared" si="43"/>
        <v>7978.2111900000009</v>
      </c>
      <c r="M50" s="22">
        <f t="shared" si="44"/>
        <v>8058.0547200000001</v>
      </c>
      <c r="N50" s="22">
        <f t="shared" si="45"/>
        <v>8137.8982500000002</v>
      </c>
      <c r="O50" s="22">
        <f t="shared" si="46"/>
        <v>8217.7417800000003</v>
      </c>
      <c r="P50" s="22">
        <f t="shared" si="47"/>
        <v>8297.5853100000004</v>
      </c>
      <c r="Q50" s="22">
        <f t="shared" si="48"/>
        <v>8365.1452200000003</v>
      </c>
      <c r="R50" s="22">
        <f t="shared" si="49"/>
        <v>8414.279700000001</v>
      </c>
      <c r="S50" s="30">
        <f t="shared" si="54"/>
        <v>8463.4141800000016</v>
      </c>
      <c r="T50" s="22">
        <f t="shared" si="55"/>
        <v>7698.7588350000005</v>
      </c>
      <c r="U50" s="22">
        <f t="shared" si="56"/>
        <v>92385.106020000007</v>
      </c>
    </row>
    <row r="51" spans="1:21" x14ac:dyDescent="0.3">
      <c r="A51" s="21">
        <v>19</v>
      </c>
      <c r="B51" s="22">
        <v>6395.91</v>
      </c>
      <c r="C51" s="22">
        <f t="shared" si="50"/>
        <v>7361.6924099999997</v>
      </c>
      <c r="D51" s="22">
        <f t="shared" si="51"/>
        <v>7496.0065200000008</v>
      </c>
      <c r="E51" s="22">
        <f t="shared" si="52"/>
        <v>7636.7165400000004</v>
      </c>
      <c r="F51" s="22">
        <f t="shared" si="53"/>
        <v>7771.0306500000006</v>
      </c>
      <c r="G51" s="22">
        <f t="shared" si="38"/>
        <v>7892.5529399999996</v>
      </c>
      <c r="H51" s="22">
        <f t="shared" si="39"/>
        <v>7975.6997700000002</v>
      </c>
      <c r="I51" s="22">
        <f t="shared" si="40"/>
        <v>8058.8465999999999</v>
      </c>
      <c r="J51" s="22">
        <f t="shared" si="41"/>
        <v>8141.9934300000004</v>
      </c>
      <c r="K51" s="22">
        <f t="shared" si="42"/>
        <v>8225.1402600000001</v>
      </c>
      <c r="L51" s="22">
        <f t="shared" si="43"/>
        <v>8308.2870899999998</v>
      </c>
      <c r="M51" s="22">
        <f t="shared" si="44"/>
        <v>8391.4339199999995</v>
      </c>
      <c r="N51" s="22">
        <f t="shared" si="45"/>
        <v>8474.5807499999992</v>
      </c>
      <c r="O51" s="22">
        <f t="shared" si="46"/>
        <v>8557.7275799999989</v>
      </c>
      <c r="P51" s="22">
        <f t="shared" si="47"/>
        <v>8640.8744100000004</v>
      </c>
      <c r="Q51" s="22">
        <f t="shared" si="48"/>
        <v>8711.2294199999997</v>
      </c>
      <c r="R51" s="22">
        <f t="shared" si="49"/>
        <v>8762.3967000000011</v>
      </c>
      <c r="S51" s="30">
        <f t="shared" si="54"/>
        <v>8813.5639800000008</v>
      </c>
      <c r="T51" s="22">
        <f t="shared" si="55"/>
        <v>8017.273185</v>
      </c>
      <c r="U51" s="22">
        <f t="shared" si="56"/>
        <v>96207.278220000007</v>
      </c>
    </row>
    <row r="52" spans="1:21" x14ac:dyDescent="0.3">
      <c r="A52" s="21">
        <v>20</v>
      </c>
      <c r="B52" s="22">
        <v>6643.12</v>
      </c>
      <c r="C52" s="22">
        <f t="shared" si="50"/>
        <v>7646.2311199999995</v>
      </c>
      <c r="D52" s="22">
        <f t="shared" si="51"/>
        <v>7785.7366400000001</v>
      </c>
      <c r="E52" s="22">
        <f t="shared" si="52"/>
        <v>7931.8852800000004</v>
      </c>
      <c r="F52" s="22">
        <f t="shared" si="53"/>
        <v>8071.3908000000001</v>
      </c>
      <c r="G52" s="22">
        <f t="shared" si="38"/>
        <v>8197.6100800000004</v>
      </c>
      <c r="H52" s="22">
        <f t="shared" si="39"/>
        <v>8283.9706400000014</v>
      </c>
      <c r="I52" s="22">
        <f t="shared" si="40"/>
        <v>8370.3312000000005</v>
      </c>
      <c r="J52" s="22">
        <f t="shared" si="41"/>
        <v>8456.6917600000015</v>
      </c>
      <c r="K52" s="22">
        <f t="shared" si="42"/>
        <v>8543.0523200000007</v>
      </c>
      <c r="L52" s="22">
        <f t="shared" si="43"/>
        <v>8629.4128800000017</v>
      </c>
      <c r="M52" s="22">
        <f t="shared" si="44"/>
        <v>8715.7734400000008</v>
      </c>
      <c r="N52" s="22">
        <f t="shared" si="45"/>
        <v>8802.134</v>
      </c>
      <c r="O52" s="22">
        <f t="shared" si="46"/>
        <v>8888.494560000001</v>
      </c>
      <c r="P52" s="22">
        <f t="shared" si="47"/>
        <v>8974.8551200000002</v>
      </c>
      <c r="Q52" s="22">
        <f t="shared" si="48"/>
        <v>9047.9294400000017</v>
      </c>
      <c r="R52" s="22">
        <f t="shared" si="49"/>
        <v>9101.0744000000013</v>
      </c>
      <c r="S52" s="30">
        <f t="shared" si="54"/>
        <v>9154.219360000001</v>
      </c>
      <c r="T52" s="22">
        <f t="shared" si="55"/>
        <v>8327.15092</v>
      </c>
      <c r="U52" s="22">
        <f t="shared" si="56"/>
        <v>99925.811040000001</v>
      </c>
    </row>
    <row r="53" spans="1:21" x14ac:dyDescent="0.3">
      <c r="A53" s="23">
        <v>21</v>
      </c>
      <c r="B53" s="24">
        <v>6927.41</v>
      </c>
      <c r="C53" s="24">
        <f t="shared" si="50"/>
        <v>7973.4489100000001</v>
      </c>
      <c r="D53" s="24">
        <f t="shared" si="51"/>
        <v>8118.9245200000005</v>
      </c>
      <c r="E53" s="24">
        <f t="shared" si="52"/>
        <v>8271.3275400000002</v>
      </c>
      <c r="F53" s="24">
        <f t="shared" si="53"/>
        <v>8416.8031499999997</v>
      </c>
      <c r="G53" s="24">
        <f t="shared" si="38"/>
        <v>8548.4239399999988</v>
      </c>
      <c r="H53" s="24">
        <f t="shared" si="39"/>
        <v>8638.48027</v>
      </c>
      <c r="I53" s="24">
        <f t="shared" si="40"/>
        <v>8728.5365999999995</v>
      </c>
      <c r="J53" s="24">
        <f t="shared" si="41"/>
        <v>8818.5929300000007</v>
      </c>
      <c r="K53" s="24">
        <f t="shared" si="42"/>
        <v>8908.6492600000001</v>
      </c>
      <c r="L53" s="24">
        <f t="shared" si="43"/>
        <v>8998.7055900000014</v>
      </c>
      <c r="M53" s="24">
        <f t="shared" si="44"/>
        <v>9088.7619200000008</v>
      </c>
      <c r="N53" s="24">
        <f t="shared" si="45"/>
        <v>9178.8182499999984</v>
      </c>
      <c r="O53" s="24">
        <f t="shared" si="46"/>
        <v>9268.8745799999997</v>
      </c>
      <c r="P53" s="24">
        <f t="shared" si="47"/>
        <v>9358.9309099999991</v>
      </c>
      <c r="Q53" s="24">
        <f t="shared" si="48"/>
        <v>9435.1324199999999</v>
      </c>
      <c r="R53" s="24">
        <f t="shared" si="49"/>
        <v>9490.5517</v>
      </c>
      <c r="S53" s="31">
        <f t="shared" si="54"/>
        <v>9545.9709800000001</v>
      </c>
      <c r="T53" s="24">
        <f t="shared" si="55"/>
        <v>8683.5084349999997</v>
      </c>
      <c r="U53" s="24">
        <f t="shared" si="56"/>
        <v>104202.10122</v>
      </c>
    </row>
    <row r="54" spans="1:21" x14ac:dyDescent="0.3"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</row>
    <row r="56" spans="1:21" x14ac:dyDescent="0.3">
      <c r="A56" s="6" t="s">
        <v>49</v>
      </c>
      <c r="B56" s="6"/>
      <c r="C56" s="6"/>
      <c r="D56" s="6"/>
      <c r="E56" s="6"/>
      <c r="F56" s="6"/>
      <c r="G56" s="6" t="str">
        <f>'[1]01082014 tarkentava ves'!G72</f>
        <v>18 - 22 år 11 månaders erfarenhet (erfarenhetsdel 12 %)</v>
      </c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</row>
    <row r="57" spans="1:21" ht="51" customHeight="1" x14ac:dyDescent="0.3">
      <c r="A57" s="49" t="s">
        <v>7</v>
      </c>
      <c r="B57" s="49" t="s">
        <v>8</v>
      </c>
      <c r="C57" s="46" t="str">
        <f>C5</f>
        <v>Suorituspisteet ja suoritustasot /</v>
      </c>
      <c r="D57" s="47" t="s">
        <v>70</v>
      </c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8"/>
      <c r="T57" s="26" t="s">
        <v>10</v>
      </c>
      <c r="U57" s="27"/>
    </row>
    <row r="58" spans="1:21" ht="13.5" thickBot="1" x14ac:dyDescent="0.35">
      <c r="A58" s="50"/>
      <c r="B58" s="50"/>
      <c r="C58" s="12" t="s">
        <v>11</v>
      </c>
      <c r="D58" s="13" t="s">
        <v>12</v>
      </c>
      <c r="E58" s="12" t="s">
        <v>13</v>
      </c>
      <c r="F58" s="13" t="s">
        <v>14</v>
      </c>
      <c r="G58" s="12" t="s">
        <v>15</v>
      </c>
      <c r="H58" s="13" t="s">
        <v>16</v>
      </c>
      <c r="I58" s="12" t="s">
        <v>17</v>
      </c>
      <c r="J58" s="13" t="s">
        <v>18</v>
      </c>
      <c r="K58" s="12" t="s">
        <v>19</v>
      </c>
      <c r="L58" s="13" t="s">
        <v>20</v>
      </c>
      <c r="M58" s="12" t="s">
        <v>21</v>
      </c>
      <c r="N58" s="13" t="s">
        <v>22</v>
      </c>
      <c r="O58" s="12" t="s">
        <v>23</v>
      </c>
      <c r="P58" s="13" t="s">
        <v>24</v>
      </c>
      <c r="Q58" s="12" t="s">
        <v>25</v>
      </c>
      <c r="R58" s="13" t="s">
        <v>26</v>
      </c>
      <c r="S58" s="12" t="s">
        <v>27</v>
      </c>
      <c r="T58" s="14"/>
      <c r="U58" s="15"/>
    </row>
    <row r="59" spans="1:21" ht="39" customHeight="1" x14ac:dyDescent="0.3">
      <c r="A59" s="51"/>
      <c r="B59" s="51"/>
      <c r="C59" s="16" t="s">
        <v>28</v>
      </c>
      <c r="D59" s="17" t="s">
        <v>29</v>
      </c>
      <c r="E59" s="16" t="s">
        <v>30</v>
      </c>
      <c r="F59" s="17" t="s">
        <v>31</v>
      </c>
      <c r="G59" s="16" t="s">
        <v>32</v>
      </c>
      <c r="H59" s="17" t="s">
        <v>33</v>
      </c>
      <c r="I59" s="16" t="s">
        <v>34</v>
      </c>
      <c r="J59" s="17" t="s">
        <v>35</v>
      </c>
      <c r="K59" s="16" t="s">
        <v>36</v>
      </c>
      <c r="L59" s="17" t="s">
        <v>37</v>
      </c>
      <c r="M59" s="16" t="s">
        <v>38</v>
      </c>
      <c r="N59" s="17" t="s">
        <v>39</v>
      </c>
      <c r="O59" s="16" t="s">
        <v>40</v>
      </c>
      <c r="P59" s="17" t="s">
        <v>41</v>
      </c>
      <c r="Q59" s="16" t="s">
        <v>42</v>
      </c>
      <c r="R59" s="17" t="s">
        <v>43</v>
      </c>
      <c r="S59" s="16" t="s">
        <v>44</v>
      </c>
      <c r="T59" s="28" t="s">
        <v>45</v>
      </c>
      <c r="U59" s="29" t="s">
        <v>46</v>
      </c>
    </row>
    <row r="60" spans="1:21" x14ac:dyDescent="0.3">
      <c r="A60" s="21">
        <v>10</v>
      </c>
      <c r="B60" s="22">
        <v>3701.55</v>
      </c>
      <c r="C60" s="22">
        <f>SUM(B60*1.081+B60*0.12)</f>
        <v>4445.5615500000004</v>
      </c>
      <c r="D60" s="22">
        <f>SUM(B60*1.102+B60*0.12)</f>
        <v>4523.2941000000001</v>
      </c>
      <c r="E60" s="22">
        <f>SUM(B60*1.124+B60*0.12)</f>
        <v>4604.7282000000005</v>
      </c>
      <c r="F60" s="22">
        <f>SUM(B60*1.145+B60*0.12)</f>
        <v>4682.4607500000002</v>
      </c>
      <c r="G60" s="22">
        <f t="shared" ref="G60:G71" si="57">SUM(B60*1.164+B60*0.12)</f>
        <v>4752.7901999999995</v>
      </c>
      <c r="H60" s="22">
        <f t="shared" ref="H60:H71" si="58">SUM(B60*1.177+B60*0.12)</f>
        <v>4800.9103500000001</v>
      </c>
      <c r="I60" s="22">
        <f t="shared" ref="I60:I71" si="59">SUM(B60*1.19+B60*0.12)</f>
        <v>4849.0304999999998</v>
      </c>
      <c r="J60" s="22">
        <f t="shared" ref="J60:J71" si="60">SUM(B60*1.203+B60*0.12)</f>
        <v>4897.1506500000005</v>
      </c>
      <c r="K60" s="22">
        <f t="shared" ref="K60:K71" si="61">SUM(B60*1.216+B60*0.12)</f>
        <v>4945.2708000000002</v>
      </c>
      <c r="L60" s="22">
        <f t="shared" ref="L60:L71" si="62">SUM(B60*1.229+B60*0.12)</f>
        <v>4993.39095</v>
      </c>
      <c r="M60" s="22">
        <f t="shared" ref="M60:M71" si="63">SUM(B60*1.242+B60*0.12)</f>
        <v>5041.5110999999997</v>
      </c>
      <c r="N60" s="22">
        <f t="shared" ref="N60:N71" si="64">SUM(B60*1.255+B60*0.12)</f>
        <v>5089.6312499999995</v>
      </c>
      <c r="O60" s="22">
        <f t="shared" ref="O60:O71" si="65">SUM(B60*1.268+B60*0.12)</f>
        <v>5137.7514000000001</v>
      </c>
      <c r="P60" s="22">
        <f t="shared" ref="P60:P71" si="66">SUM(B60*1.281+B60*0.12)</f>
        <v>5185.8715499999998</v>
      </c>
      <c r="Q60" s="22">
        <f t="shared" ref="Q60:Q71" si="67">SUM(B60*1.292+B60*0.12)</f>
        <v>5226.5886</v>
      </c>
      <c r="R60" s="22">
        <f t="shared" ref="R60:R71" si="68">SUM(B60*1.3+B60*0.12)</f>
        <v>5256.201</v>
      </c>
      <c r="S60" s="30">
        <f>SUM(B60*1.308+B60*0.12)</f>
        <v>5285.8134</v>
      </c>
      <c r="T60" s="22">
        <f>AVERAGE(G60:J60)</f>
        <v>4824.9704249999995</v>
      </c>
      <c r="U60" s="22">
        <f>T60*12</f>
        <v>57899.645099999994</v>
      </c>
    </row>
    <row r="61" spans="1:21" x14ac:dyDescent="0.3">
      <c r="A61" s="21">
        <v>11</v>
      </c>
      <c r="B61" s="22">
        <v>4392.04</v>
      </c>
      <c r="C61" s="22">
        <f t="shared" ref="C61:C71" si="69">SUM(B61*1.081+B61*0.12)</f>
        <v>5274.8400399999991</v>
      </c>
      <c r="D61" s="22">
        <f t="shared" ref="D61:D71" si="70">SUM(B61*1.102+B61*0.12)</f>
        <v>5367.0728799999997</v>
      </c>
      <c r="E61" s="22">
        <f t="shared" ref="E61:E71" si="71">SUM(B61*1.124+B61*0.12)</f>
        <v>5463.69776</v>
      </c>
      <c r="F61" s="22">
        <f t="shared" ref="F61:F71" si="72">SUM(B61*1.145+B61*0.12)</f>
        <v>5555.9305999999997</v>
      </c>
      <c r="G61" s="22">
        <f t="shared" si="57"/>
        <v>5639.379359999999</v>
      </c>
      <c r="H61" s="22">
        <f t="shared" si="58"/>
        <v>5696.47588</v>
      </c>
      <c r="I61" s="22">
        <f t="shared" si="59"/>
        <v>5753.5723999999991</v>
      </c>
      <c r="J61" s="22">
        <f t="shared" si="60"/>
        <v>5810.6689200000001</v>
      </c>
      <c r="K61" s="22">
        <f t="shared" si="61"/>
        <v>5867.7654399999992</v>
      </c>
      <c r="L61" s="22">
        <f t="shared" si="62"/>
        <v>5924.8619600000002</v>
      </c>
      <c r="M61" s="22">
        <f t="shared" si="63"/>
        <v>5981.9584799999993</v>
      </c>
      <c r="N61" s="22">
        <f t="shared" si="64"/>
        <v>6039.0549999999994</v>
      </c>
      <c r="O61" s="22">
        <f t="shared" si="65"/>
        <v>6096.1515199999994</v>
      </c>
      <c r="P61" s="22">
        <f t="shared" si="66"/>
        <v>6153.2480399999995</v>
      </c>
      <c r="Q61" s="22">
        <f t="shared" si="67"/>
        <v>6201.5604800000001</v>
      </c>
      <c r="R61" s="22">
        <f t="shared" si="68"/>
        <v>6236.6967999999997</v>
      </c>
      <c r="S61" s="30">
        <f t="shared" ref="S61:S71" si="73">SUM(B61*1.308+B61*0.12)</f>
        <v>6271.8331200000002</v>
      </c>
      <c r="T61" s="22">
        <f t="shared" ref="T61:T71" si="74">AVERAGE(G61:J61)</f>
        <v>5725.0241399999995</v>
      </c>
      <c r="U61" s="22">
        <f>T61*12</f>
        <v>68700.289679999987</v>
      </c>
    </row>
    <row r="62" spans="1:21" x14ac:dyDescent="0.3">
      <c r="A62" s="21">
        <v>12</v>
      </c>
      <c r="B62" s="22">
        <v>4673.22</v>
      </c>
      <c r="C62" s="22">
        <f t="shared" si="69"/>
        <v>5612.5372200000002</v>
      </c>
      <c r="D62" s="22">
        <f t="shared" si="70"/>
        <v>5710.6748400000006</v>
      </c>
      <c r="E62" s="22">
        <f t="shared" si="71"/>
        <v>5813.4856800000007</v>
      </c>
      <c r="F62" s="22">
        <f t="shared" si="72"/>
        <v>5911.6233000000002</v>
      </c>
      <c r="G62" s="22">
        <f t="shared" si="57"/>
        <v>6000.4144799999995</v>
      </c>
      <c r="H62" s="22">
        <f t="shared" si="58"/>
        <v>6061.1663400000007</v>
      </c>
      <c r="I62" s="22">
        <f t="shared" si="59"/>
        <v>6121.9182000000001</v>
      </c>
      <c r="J62" s="22">
        <f t="shared" si="60"/>
        <v>6182.6700600000004</v>
      </c>
      <c r="K62" s="22">
        <f t="shared" si="61"/>
        <v>6243.4219199999998</v>
      </c>
      <c r="L62" s="22">
        <f t="shared" si="62"/>
        <v>6304.173780000001</v>
      </c>
      <c r="M62" s="22">
        <f t="shared" si="63"/>
        <v>6364.9256400000004</v>
      </c>
      <c r="N62" s="22">
        <f t="shared" si="64"/>
        <v>6425.6774999999998</v>
      </c>
      <c r="O62" s="22">
        <f t="shared" si="65"/>
        <v>6486.4293600000001</v>
      </c>
      <c r="P62" s="22">
        <f t="shared" si="66"/>
        <v>6547.1812199999995</v>
      </c>
      <c r="Q62" s="22">
        <f t="shared" si="67"/>
        <v>6598.5866400000004</v>
      </c>
      <c r="R62" s="22">
        <f t="shared" si="68"/>
        <v>6635.9724000000006</v>
      </c>
      <c r="S62" s="30">
        <f t="shared" si="73"/>
        <v>6673.3581600000007</v>
      </c>
      <c r="T62" s="22">
        <f t="shared" si="74"/>
        <v>6091.5422699999999</v>
      </c>
      <c r="U62" s="22">
        <f t="shared" ref="U62:U71" si="75">T62*12</f>
        <v>73098.507240000006</v>
      </c>
    </row>
    <row r="63" spans="1:21" x14ac:dyDescent="0.3">
      <c r="A63" s="21">
        <v>13</v>
      </c>
      <c r="B63" s="22">
        <v>4909.04</v>
      </c>
      <c r="C63" s="22">
        <f t="shared" si="69"/>
        <v>5895.7570399999995</v>
      </c>
      <c r="D63" s="22">
        <f t="shared" si="70"/>
        <v>5998.8468800000001</v>
      </c>
      <c r="E63" s="22">
        <f t="shared" si="71"/>
        <v>6106.8457600000002</v>
      </c>
      <c r="F63" s="22">
        <f t="shared" si="72"/>
        <v>6209.9355999999998</v>
      </c>
      <c r="G63" s="22">
        <f t="shared" si="57"/>
        <v>6303.2073599999994</v>
      </c>
      <c r="H63" s="22">
        <f t="shared" si="58"/>
        <v>6367.0248799999999</v>
      </c>
      <c r="I63" s="22">
        <f t="shared" si="59"/>
        <v>6430.8423999999995</v>
      </c>
      <c r="J63" s="22">
        <f t="shared" si="60"/>
        <v>6494.6599200000001</v>
      </c>
      <c r="K63" s="22">
        <f t="shared" si="61"/>
        <v>6558.4774399999997</v>
      </c>
      <c r="L63" s="22">
        <f t="shared" si="62"/>
        <v>6622.2949600000002</v>
      </c>
      <c r="M63" s="22">
        <f t="shared" si="63"/>
        <v>6686.1124799999998</v>
      </c>
      <c r="N63" s="22">
        <f t="shared" si="64"/>
        <v>6749.9299999999994</v>
      </c>
      <c r="O63" s="22">
        <f t="shared" si="65"/>
        <v>6813.7475199999999</v>
      </c>
      <c r="P63" s="22">
        <f t="shared" si="66"/>
        <v>6877.5650399999995</v>
      </c>
      <c r="Q63" s="22">
        <f t="shared" si="67"/>
        <v>6931.56448</v>
      </c>
      <c r="R63" s="22">
        <f t="shared" si="68"/>
        <v>6970.8368</v>
      </c>
      <c r="S63" s="30">
        <f t="shared" si="73"/>
        <v>7010.1091200000001</v>
      </c>
      <c r="T63" s="22">
        <f t="shared" si="74"/>
        <v>6398.9336399999993</v>
      </c>
      <c r="U63" s="22">
        <f t="shared" si="75"/>
        <v>76787.203679999991</v>
      </c>
    </row>
    <row r="64" spans="1:21" x14ac:dyDescent="0.3">
      <c r="A64" s="21">
        <v>14</v>
      </c>
      <c r="B64" s="22">
        <v>5100.88</v>
      </c>
      <c r="C64" s="22">
        <f t="shared" si="69"/>
        <v>6126.1568799999995</v>
      </c>
      <c r="D64" s="22">
        <f t="shared" si="70"/>
        <v>6233.2753600000005</v>
      </c>
      <c r="E64" s="22">
        <f t="shared" si="71"/>
        <v>6345.4947200000006</v>
      </c>
      <c r="F64" s="22">
        <f t="shared" si="72"/>
        <v>6452.6131999999998</v>
      </c>
      <c r="G64" s="22">
        <f t="shared" si="57"/>
        <v>6549.5299199999999</v>
      </c>
      <c r="H64" s="22">
        <f t="shared" si="58"/>
        <v>6615.8413600000003</v>
      </c>
      <c r="I64" s="22">
        <f t="shared" si="59"/>
        <v>6682.1527999999998</v>
      </c>
      <c r="J64" s="22">
        <f t="shared" si="60"/>
        <v>6748.4642400000002</v>
      </c>
      <c r="K64" s="22">
        <f t="shared" si="61"/>
        <v>6814.7756799999997</v>
      </c>
      <c r="L64" s="22">
        <f t="shared" si="62"/>
        <v>6881.0871200000001</v>
      </c>
      <c r="M64" s="22">
        <f t="shared" si="63"/>
        <v>6947.3985599999996</v>
      </c>
      <c r="N64" s="22">
        <f t="shared" si="64"/>
        <v>7013.7099999999991</v>
      </c>
      <c r="O64" s="22">
        <f t="shared" si="65"/>
        <v>7080.0214400000004</v>
      </c>
      <c r="P64" s="22">
        <f t="shared" si="66"/>
        <v>7146.3328799999999</v>
      </c>
      <c r="Q64" s="22">
        <f t="shared" si="67"/>
        <v>7202.4425600000004</v>
      </c>
      <c r="R64" s="22">
        <f t="shared" si="68"/>
        <v>7243.2496000000001</v>
      </c>
      <c r="S64" s="30">
        <f t="shared" si="73"/>
        <v>7284.0566400000007</v>
      </c>
      <c r="T64" s="22">
        <f t="shared" si="74"/>
        <v>6648.9970800000001</v>
      </c>
      <c r="U64" s="22">
        <f t="shared" si="75"/>
        <v>79787.964959999998</v>
      </c>
    </row>
    <row r="65" spans="1:21" x14ac:dyDescent="0.3">
      <c r="A65" s="21">
        <v>15</v>
      </c>
      <c r="B65" s="22">
        <v>5278.07</v>
      </c>
      <c r="C65" s="22">
        <f t="shared" si="69"/>
        <v>6338.9620699999996</v>
      </c>
      <c r="D65" s="22">
        <f t="shared" si="70"/>
        <v>6449.8015400000004</v>
      </c>
      <c r="E65" s="22">
        <f t="shared" si="71"/>
        <v>6565.9190800000006</v>
      </c>
      <c r="F65" s="22">
        <f t="shared" si="72"/>
        <v>6676.7585500000005</v>
      </c>
      <c r="G65" s="22">
        <f t="shared" si="57"/>
        <v>6777.0418799999998</v>
      </c>
      <c r="H65" s="22">
        <f t="shared" si="58"/>
        <v>6845.65679</v>
      </c>
      <c r="I65" s="22">
        <f t="shared" si="59"/>
        <v>6914.2716999999993</v>
      </c>
      <c r="J65" s="22">
        <f t="shared" si="60"/>
        <v>6982.8866100000005</v>
      </c>
      <c r="K65" s="22">
        <f t="shared" si="61"/>
        <v>7051.5015199999998</v>
      </c>
      <c r="L65" s="22">
        <f t="shared" si="62"/>
        <v>7120.11643</v>
      </c>
      <c r="M65" s="22">
        <f t="shared" si="63"/>
        <v>7188.7313400000003</v>
      </c>
      <c r="N65" s="22">
        <f t="shared" si="64"/>
        <v>7257.3462499999996</v>
      </c>
      <c r="O65" s="22">
        <f t="shared" si="65"/>
        <v>7325.9611599999998</v>
      </c>
      <c r="P65" s="22">
        <f t="shared" si="66"/>
        <v>7394.5760699999992</v>
      </c>
      <c r="Q65" s="22">
        <f t="shared" si="67"/>
        <v>7452.6348399999997</v>
      </c>
      <c r="R65" s="22">
        <f t="shared" si="68"/>
        <v>7494.8594000000003</v>
      </c>
      <c r="S65" s="30">
        <f t="shared" si="73"/>
        <v>7537.0839599999999</v>
      </c>
      <c r="T65" s="22">
        <f t="shared" si="74"/>
        <v>6879.9642450000001</v>
      </c>
      <c r="U65" s="22">
        <f t="shared" si="75"/>
        <v>82559.570940000005</v>
      </c>
    </row>
    <row r="66" spans="1:21" x14ac:dyDescent="0.3">
      <c r="A66" s="21">
        <v>16</v>
      </c>
      <c r="B66" s="22">
        <v>5446.55</v>
      </c>
      <c r="C66" s="22">
        <f t="shared" si="69"/>
        <v>6541.3065500000002</v>
      </c>
      <c r="D66" s="22">
        <f t="shared" si="70"/>
        <v>6655.6841000000013</v>
      </c>
      <c r="E66" s="22">
        <f t="shared" si="71"/>
        <v>6775.5082000000011</v>
      </c>
      <c r="F66" s="22">
        <f t="shared" si="72"/>
        <v>6889.8857500000004</v>
      </c>
      <c r="G66" s="22">
        <f t="shared" si="57"/>
        <v>6993.3702000000003</v>
      </c>
      <c r="H66" s="22">
        <f t="shared" si="58"/>
        <v>7064.1753500000004</v>
      </c>
      <c r="I66" s="22">
        <f t="shared" si="59"/>
        <v>7134.9805000000006</v>
      </c>
      <c r="J66" s="22">
        <f t="shared" si="60"/>
        <v>7205.7856500000007</v>
      </c>
      <c r="K66" s="22">
        <f t="shared" si="61"/>
        <v>7276.5907999999999</v>
      </c>
      <c r="L66" s="22">
        <f t="shared" si="62"/>
        <v>7347.395950000001</v>
      </c>
      <c r="M66" s="22">
        <f t="shared" si="63"/>
        <v>7418.2011000000002</v>
      </c>
      <c r="N66" s="22">
        <f t="shared" si="64"/>
        <v>7489.0062499999995</v>
      </c>
      <c r="O66" s="22">
        <f t="shared" si="65"/>
        <v>7559.8114000000005</v>
      </c>
      <c r="P66" s="22">
        <f t="shared" si="66"/>
        <v>7630.6165499999997</v>
      </c>
      <c r="Q66" s="22">
        <f t="shared" si="67"/>
        <v>7690.5286000000006</v>
      </c>
      <c r="R66" s="22">
        <f t="shared" si="68"/>
        <v>7734.1010000000006</v>
      </c>
      <c r="S66" s="30">
        <f t="shared" si="73"/>
        <v>7777.6734000000006</v>
      </c>
      <c r="T66" s="22">
        <f t="shared" si="74"/>
        <v>7099.5779250000005</v>
      </c>
      <c r="U66" s="22">
        <f t="shared" si="75"/>
        <v>85194.935100000002</v>
      </c>
    </row>
    <row r="67" spans="1:21" x14ac:dyDescent="0.3">
      <c r="A67" s="21">
        <v>17</v>
      </c>
      <c r="B67" s="22">
        <v>5869.78</v>
      </c>
      <c r="C67" s="22">
        <f t="shared" si="69"/>
        <v>7049.605779999999</v>
      </c>
      <c r="D67" s="22">
        <f t="shared" si="70"/>
        <v>7172.8711600000006</v>
      </c>
      <c r="E67" s="22">
        <f t="shared" si="71"/>
        <v>7302.0063200000004</v>
      </c>
      <c r="F67" s="22">
        <f t="shared" si="72"/>
        <v>7425.2716999999993</v>
      </c>
      <c r="G67" s="22">
        <f t="shared" si="57"/>
        <v>7536.7975199999992</v>
      </c>
      <c r="H67" s="22">
        <f t="shared" si="58"/>
        <v>7613.10466</v>
      </c>
      <c r="I67" s="22">
        <f t="shared" si="59"/>
        <v>7689.4117999999989</v>
      </c>
      <c r="J67" s="22">
        <f t="shared" si="60"/>
        <v>7765.7189399999997</v>
      </c>
      <c r="K67" s="22">
        <f t="shared" si="61"/>
        <v>7842.0260799999996</v>
      </c>
      <c r="L67" s="22">
        <f t="shared" si="62"/>
        <v>7918.3332200000004</v>
      </c>
      <c r="M67" s="22">
        <f t="shared" si="63"/>
        <v>7994.6403599999994</v>
      </c>
      <c r="N67" s="22">
        <f t="shared" si="64"/>
        <v>8070.9474999999993</v>
      </c>
      <c r="O67" s="22">
        <f t="shared" si="65"/>
        <v>8147.2546400000001</v>
      </c>
      <c r="P67" s="22">
        <f t="shared" si="66"/>
        <v>8223.56178</v>
      </c>
      <c r="Q67" s="22">
        <f t="shared" si="67"/>
        <v>8288.129359999999</v>
      </c>
      <c r="R67" s="22">
        <f t="shared" si="68"/>
        <v>8335.0875999999989</v>
      </c>
      <c r="S67" s="30">
        <f t="shared" si="73"/>
        <v>8382.0458399999989</v>
      </c>
      <c r="T67" s="22">
        <f t="shared" si="74"/>
        <v>7651.2582299999995</v>
      </c>
      <c r="U67" s="22">
        <f t="shared" si="75"/>
        <v>91815.098759999993</v>
      </c>
    </row>
    <row r="68" spans="1:21" x14ac:dyDescent="0.3">
      <c r="A68" s="21">
        <v>18</v>
      </c>
      <c r="B68" s="22">
        <v>6141.81</v>
      </c>
      <c r="C68" s="22">
        <f t="shared" si="69"/>
        <v>7376.3138100000006</v>
      </c>
      <c r="D68" s="22">
        <f t="shared" si="70"/>
        <v>7505.2918200000013</v>
      </c>
      <c r="E68" s="22">
        <f t="shared" si="71"/>
        <v>7640.4116400000012</v>
      </c>
      <c r="F68" s="22">
        <f t="shared" si="72"/>
        <v>7769.389650000001</v>
      </c>
      <c r="G68" s="22">
        <f t="shared" si="57"/>
        <v>7886.0840400000006</v>
      </c>
      <c r="H68" s="22">
        <f t="shared" si="58"/>
        <v>7965.9275700000007</v>
      </c>
      <c r="I68" s="22">
        <f t="shared" si="59"/>
        <v>8045.7710999999999</v>
      </c>
      <c r="J68" s="22">
        <f t="shared" si="60"/>
        <v>8125.6146300000009</v>
      </c>
      <c r="K68" s="22">
        <f t="shared" si="61"/>
        <v>8205.4581600000001</v>
      </c>
      <c r="L68" s="22">
        <f t="shared" si="62"/>
        <v>8285.3016900000002</v>
      </c>
      <c r="M68" s="22">
        <f t="shared" si="63"/>
        <v>8365.1452200000003</v>
      </c>
      <c r="N68" s="22">
        <f t="shared" si="64"/>
        <v>8444.9887500000004</v>
      </c>
      <c r="O68" s="22">
        <f t="shared" si="65"/>
        <v>8524.8322800000005</v>
      </c>
      <c r="P68" s="22">
        <f t="shared" si="66"/>
        <v>8604.6758100000006</v>
      </c>
      <c r="Q68" s="22">
        <f t="shared" si="67"/>
        <v>8672.2357200000006</v>
      </c>
      <c r="R68" s="22">
        <f t="shared" si="68"/>
        <v>8721.3702000000012</v>
      </c>
      <c r="S68" s="30">
        <f t="shared" si="73"/>
        <v>8770.50468</v>
      </c>
      <c r="T68" s="22">
        <f t="shared" si="74"/>
        <v>8005.8493349999999</v>
      </c>
      <c r="U68" s="22">
        <f t="shared" si="75"/>
        <v>96070.192020000002</v>
      </c>
    </row>
    <row r="69" spans="1:21" x14ac:dyDescent="0.3">
      <c r="A69" s="21">
        <v>19</v>
      </c>
      <c r="B69" s="22">
        <v>6395.91</v>
      </c>
      <c r="C69" s="22">
        <f t="shared" si="69"/>
        <v>7681.4879099999998</v>
      </c>
      <c r="D69" s="22">
        <f t="shared" si="70"/>
        <v>7815.802020000001</v>
      </c>
      <c r="E69" s="22">
        <f t="shared" si="71"/>
        <v>7956.5120399999996</v>
      </c>
      <c r="F69" s="22">
        <f t="shared" si="72"/>
        <v>8090.8261500000008</v>
      </c>
      <c r="G69" s="22">
        <f t="shared" si="57"/>
        <v>8212.3484399999998</v>
      </c>
      <c r="H69" s="22">
        <f t="shared" si="58"/>
        <v>8295.4952699999994</v>
      </c>
      <c r="I69" s="22">
        <f t="shared" si="59"/>
        <v>8378.6420999999991</v>
      </c>
      <c r="J69" s="22">
        <f t="shared" si="60"/>
        <v>8461.7889300000006</v>
      </c>
      <c r="K69" s="22">
        <f t="shared" si="61"/>
        <v>8544.9357600000003</v>
      </c>
      <c r="L69" s="22">
        <f t="shared" si="62"/>
        <v>8628.08259</v>
      </c>
      <c r="M69" s="22">
        <f t="shared" si="63"/>
        <v>8711.2294199999997</v>
      </c>
      <c r="N69" s="22">
        <f t="shared" si="64"/>
        <v>8794.3762499999993</v>
      </c>
      <c r="O69" s="22">
        <f t="shared" si="65"/>
        <v>8877.523079999999</v>
      </c>
      <c r="P69" s="22">
        <f t="shared" si="66"/>
        <v>8960.6699100000005</v>
      </c>
      <c r="Q69" s="22">
        <f t="shared" si="67"/>
        <v>9031.0249199999998</v>
      </c>
      <c r="R69" s="22">
        <f t="shared" si="68"/>
        <v>9082.1922000000013</v>
      </c>
      <c r="S69" s="30">
        <f t="shared" si="73"/>
        <v>9133.359480000001</v>
      </c>
      <c r="T69" s="22">
        <f t="shared" si="74"/>
        <v>8337.0686850000002</v>
      </c>
      <c r="U69" s="22">
        <f t="shared" si="75"/>
        <v>100044.82422000001</v>
      </c>
    </row>
    <row r="70" spans="1:21" x14ac:dyDescent="0.3">
      <c r="A70" s="21">
        <v>20</v>
      </c>
      <c r="B70" s="22">
        <v>6643.12</v>
      </c>
      <c r="C70" s="22">
        <f t="shared" si="69"/>
        <v>7978.3871199999994</v>
      </c>
      <c r="D70" s="22">
        <f t="shared" si="70"/>
        <v>8117.89264</v>
      </c>
      <c r="E70" s="22">
        <f t="shared" si="71"/>
        <v>8264.0412800000013</v>
      </c>
      <c r="F70" s="22">
        <f t="shared" si="72"/>
        <v>8403.5468000000001</v>
      </c>
      <c r="G70" s="22">
        <f t="shared" si="57"/>
        <v>8529.7660799999994</v>
      </c>
      <c r="H70" s="22">
        <f t="shared" si="58"/>
        <v>8616.1266400000004</v>
      </c>
      <c r="I70" s="22">
        <f t="shared" si="59"/>
        <v>8702.4871999999996</v>
      </c>
      <c r="J70" s="22">
        <f t="shared" si="60"/>
        <v>8788.8477600000006</v>
      </c>
      <c r="K70" s="22">
        <f t="shared" si="61"/>
        <v>8875.2083199999997</v>
      </c>
      <c r="L70" s="22">
        <f t="shared" si="62"/>
        <v>8961.5688800000007</v>
      </c>
      <c r="M70" s="22">
        <f t="shared" si="63"/>
        <v>9047.9294399999999</v>
      </c>
      <c r="N70" s="22">
        <f t="shared" si="64"/>
        <v>9134.2899999999991</v>
      </c>
      <c r="O70" s="22">
        <f t="shared" si="65"/>
        <v>9220.65056</v>
      </c>
      <c r="P70" s="22">
        <f t="shared" si="66"/>
        <v>9307.0111199999992</v>
      </c>
      <c r="Q70" s="22">
        <f t="shared" si="67"/>
        <v>9380.0854400000007</v>
      </c>
      <c r="R70" s="22">
        <f t="shared" si="68"/>
        <v>9433.2304000000004</v>
      </c>
      <c r="S70" s="30">
        <f t="shared" si="73"/>
        <v>9486.37536</v>
      </c>
      <c r="T70" s="22">
        <f t="shared" si="74"/>
        <v>8659.3069199999991</v>
      </c>
      <c r="U70" s="22">
        <f t="shared" si="75"/>
        <v>103911.68303999999</v>
      </c>
    </row>
    <row r="71" spans="1:21" x14ac:dyDescent="0.3">
      <c r="A71" s="23">
        <v>21</v>
      </c>
      <c r="B71" s="24">
        <v>6927.41</v>
      </c>
      <c r="C71" s="24">
        <f t="shared" si="69"/>
        <v>8319.8194100000001</v>
      </c>
      <c r="D71" s="24">
        <f t="shared" si="70"/>
        <v>8465.2950199999996</v>
      </c>
      <c r="E71" s="24">
        <f t="shared" si="71"/>
        <v>8617.6980400000011</v>
      </c>
      <c r="F71" s="24">
        <f t="shared" si="72"/>
        <v>8763.1736499999988</v>
      </c>
      <c r="G71" s="24">
        <f t="shared" si="57"/>
        <v>8894.7944399999997</v>
      </c>
      <c r="H71" s="24">
        <f t="shared" si="58"/>
        <v>8984.8507699999991</v>
      </c>
      <c r="I71" s="24">
        <f t="shared" si="59"/>
        <v>9074.9070999999985</v>
      </c>
      <c r="J71" s="24">
        <f t="shared" si="60"/>
        <v>9164.9634299999998</v>
      </c>
      <c r="K71" s="24">
        <f t="shared" si="61"/>
        <v>9255.0197599999992</v>
      </c>
      <c r="L71" s="24">
        <f t="shared" si="62"/>
        <v>9345.0760900000005</v>
      </c>
      <c r="M71" s="24">
        <f t="shared" si="63"/>
        <v>9435.1324199999999</v>
      </c>
      <c r="N71" s="24">
        <f t="shared" si="64"/>
        <v>9525.1887499999975</v>
      </c>
      <c r="O71" s="24">
        <f t="shared" si="65"/>
        <v>9615.2450799999988</v>
      </c>
      <c r="P71" s="24">
        <f t="shared" si="66"/>
        <v>9705.3014099999982</v>
      </c>
      <c r="Q71" s="24">
        <f t="shared" si="67"/>
        <v>9781.502919999999</v>
      </c>
      <c r="R71" s="24">
        <f t="shared" si="68"/>
        <v>9836.9221999999991</v>
      </c>
      <c r="S71" s="31">
        <f t="shared" si="73"/>
        <v>9892.3414799999991</v>
      </c>
      <c r="T71" s="24">
        <f t="shared" si="74"/>
        <v>9029.8789350000006</v>
      </c>
      <c r="U71" s="24">
        <f t="shared" si="75"/>
        <v>108358.54722000001</v>
      </c>
    </row>
    <row r="73" spans="1:21" ht="13.5" thickBot="1" x14ac:dyDescent="0.35">
      <c r="A73" s="6" t="s">
        <v>50</v>
      </c>
      <c r="B73" s="6"/>
      <c r="C73" s="6"/>
      <c r="D73" s="6"/>
      <c r="E73" s="6"/>
      <c r="F73" s="6"/>
      <c r="G73" s="6" t="str">
        <f>'[1]01082014 tarkentava ves'!G92</f>
        <v>minst 23 års erfarenhet (erfarenhetsdel 16 %)</v>
      </c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</row>
    <row r="74" spans="1:21" ht="29.5" customHeight="1" x14ac:dyDescent="0.3">
      <c r="T74" s="10" t="s">
        <v>10</v>
      </c>
      <c r="U74" s="11"/>
    </row>
    <row r="75" spans="1:21" ht="12.75" customHeight="1" x14ac:dyDescent="0.3">
      <c r="A75" s="49" t="s">
        <v>7</v>
      </c>
      <c r="B75" s="49" t="s">
        <v>8</v>
      </c>
      <c r="C75" s="55" t="str">
        <f>C5</f>
        <v>Suorituspisteet ja suoritustasot /</v>
      </c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7"/>
      <c r="T75" s="26"/>
      <c r="U75" s="27"/>
    </row>
    <row r="76" spans="1:21" ht="13.5" thickBot="1" x14ac:dyDescent="0.35">
      <c r="A76" s="50"/>
      <c r="B76" s="50"/>
      <c r="C76" s="12" t="s">
        <v>11</v>
      </c>
      <c r="D76" s="13" t="s">
        <v>12</v>
      </c>
      <c r="E76" s="12" t="s">
        <v>13</v>
      </c>
      <c r="F76" s="13" t="s">
        <v>14</v>
      </c>
      <c r="G76" s="12" t="s">
        <v>15</v>
      </c>
      <c r="H76" s="13" t="s">
        <v>16</v>
      </c>
      <c r="I76" s="12" t="s">
        <v>17</v>
      </c>
      <c r="J76" s="13" t="s">
        <v>18</v>
      </c>
      <c r="K76" s="12" t="s">
        <v>19</v>
      </c>
      <c r="L76" s="13" t="s">
        <v>20</v>
      </c>
      <c r="M76" s="12" t="s">
        <v>21</v>
      </c>
      <c r="N76" s="13" t="s">
        <v>22</v>
      </c>
      <c r="O76" s="12" t="s">
        <v>23</v>
      </c>
      <c r="P76" s="13" t="s">
        <v>24</v>
      </c>
      <c r="Q76" s="12" t="s">
        <v>25</v>
      </c>
      <c r="R76" s="13" t="s">
        <v>26</v>
      </c>
      <c r="S76" s="12" t="s">
        <v>27</v>
      </c>
      <c r="T76" s="14"/>
      <c r="U76" s="15"/>
    </row>
    <row r="77" spans="1:21" ht="41.25" customHeight="1" x14ac:dyDescent="0.3">
      <c r="A77" s="51"/>
      <c r="B77" s="51"/>
      <c r="C77" s="16" t="s">
        <v>28</v>
      </c>
      <c r="D77" s="17" t="s">
        <v>29</v>
      </c>
      <c r="E77" s="16" t="s">
        <v>30</v>
      </c>
      <c r="F77" s="17" t="s">
        <v>31</v>
      </c>
      <c r="G77" s="16" t="s">
        <v>32</v>
      </c>
      <c r="H77" s="17" t="s">
        <v>33</v>
      </c>
      <c r="I77" s="16" t="s">
        <v>34</v>
      </c>
      <c r="J77" s="17" t="s">
        <v>35</v>
      </c>
      <c r="K77" s="16" t="s">
        <v>36</v>
      </c>
      <c r="L77" s="17" t="s">
        <v>37</v>
      </c>
      <c r="M77" s="16" t="s">
        <v>38</v>
      </c>
      <c r="N77" s="17" t="s">
        <v>39</v>
      </c>
      <c r="O77" s="16" t="s">
        <v>40</v>
      </c>
      <c r="P77" s="17" t="s">
        <v>41</v>
      </c>
      <c r="Q77" s="16" t="s">
        <v>42</v>
      </c>
      <c r="R77" s="17" t="s">
        <v>43</v>
      </c>
      <c r="S77" s="16" t="s">
        <v>44</v>
      </c>
      <c r="T77" s="28" t="s">
        <v>45</v>
      </c>
      <c r="U77" s="29" t="s">
        <v>46</v>
      </c>
    </row>
    <row r="78" spans="1:21" x14ac:dyDescent="0.3">
      <c r="A78" s="21">
        <v>10</v>
      </c>
      <c r="B78" s="22">
        <v>3701.55</v>
      </c>
      <c r="C78" s="22">
        <f>SUM(B78*1.081+B78*0.16)</f>
        <v>4593.6235500000003</v>
      </c>
      <c r="D78" s="22">
        <f>SUM(B78*1.102+B78*0.16)</f>
        <v>4671.3561000000009</v>
      </c>
      <c r="E78" s="22">
        <f>SUM(B78*1.124+B78*0.16)</f>
        <v>4752.7902000000013</v>
      </c>
      <c r="F78" s="22">
        <f>SUM(B78*1.145+B78*0.16)</f>
        <v>4830.5227500000001</v>
      </c>
      <c r="G78" s="22">
        <f t="shared" ref="G78:G89" si="76">SUM(B78*1.164+B78*0.16)</f>
        <v>4900.8521999999994</v>
      </c>
      <c r="H78" s="22">
        <f t="shared" ref="H78:H89" si="77">SUM(B78*1.177+B78*0.16)</f>
        <v>4948.97235</v>
      </c>
      <c r="I78" s="22">
        <f t="shared" ref="I78:I89" si="78">SUM(B78*1.19+B78*0.16)</f>
        <v>4997.0925000000007</v>
      </c>
      <c r="J78" s="22">
        <f t="shared" ref="J78:J89" si="79">SUM(B78*1.203+B78*0.16)</f>
        <v>5045.2126500000013</v>
      </c>
      <c r="K78" s="22">
        <f t="shared" ref="K78:K89" si="80">SUM(B78*1.216+B78*0.16)</f>
        <v>5093.3328000000001</v>
      </c>
      <c r="L78" s="22">
        <f t="shared" ref="L78:L88" si="81">SUM(B78*1.229+B78*0.16)</f>
        <v>5141.4529500000008</v>
      </c>
      <c r="M78" s="22">
        <f t="shared" ref="M78:M89" si="82">SUM(B78*1.242+B78*0.16)</f>
        <v>5189.5730999999996</v>
      </c>
      <c r="N78" s="22">
        <f t="shared" ref="N78:N89" si="83">SUM(B78*1.255+B78*0.16)</f>
        <v>5237.6932500000003</v>
      </c>
      <c r="O78" s="22">
        <f t="shared" ref="O78:O89" si="84">SUM(B78*1.268+B78*0.16)</f>
        <v>5285.8134000000009</v>
      </c>
      <c r="P78" s="22">
        <f t="shared" ref="P78:P89" si="85">SUM(B78*1.281+B78*0.16)</f>
        <v>5333.9335499999997</v>
      </c>
      <c r="Q78" s="22">
        <f t="shared" ref="Q78:Q89" si="86">SUM(B78*1.292+B78*0.16)</f>
        <v>5374.6506000000008</v>
      </c>
      <c r="R78" s="22">
        <f t="shared" ref="R78:R89" si="87">SUM(B78*1.3+B78*0.16)</f>
        <v>5404.2630000000008</v>
      </c>
      <c r="S78" s="30">
        <f>SUM(B78*1.308+B78*0.16)</f>
        <v>5433.8754000000008</v>
      </c>
      <c r="T78" s="22">
        <f>AVERAGE(G78:J78)</f>
        <v>4973.0324250000003</v>
      </c>
      <c r="U78" s="22">
        <f>T78*12</f>
        <v>59676.3891</v>
      </c>
    </row>
    <row r="79" spans="1:21" x14ac:dyDescent="0.3">
      <c r="A79" s="21">
        <v>11</v>
      </c>
      <c r="B79" s="22">
        <v>4392.04</v>
      </c>
      <c r="C79" s="22">
        <f t="shared" ref="C79:C89" si="88">SUM(B79*1.081+B79*0.16)</f>
        <v>5450.521639999999</v>
      </c>
      <c r="D79" s="22">
        <f t="shared" ref="D79:D89" si="89">SUM(B79*1.102+B79*0.16)</f>
        <v>5542.7544799999996</v>
      </c>
      <c r="E79" s="22">
        <f t="shared" ref="E79:E89" si="90">SUM(B79*1.124+B79*0.16)</f>
        <v>5639.3793600000008</v>
      </c>
      <c r="F79" s="22">
        <f t="shared" ref="F79:F89" si="91">SUM(B79*1.145+B79*0.16)</f>
        <v>5731.6121999999996</v>
      </c>
      <c r="G79" s="22">
        <f t="shared" si="76"/>
        <v>5815.0609599999989</v>
      </c>
      <c r="H79" s="22">
        <f t="shared" si="77"/>
        <v>5872.1574799999999</v>
      </c>
      <c r="I79" s="22">
        <f t="shared" si="78"/>
        <v>5929.253999999999</v>
      </c>
      <c r="J79" s="22">
        <f t="shared" si="79"/>
        <v>5986.35052</v>
      </c>
      <c r="K79" s="22">
        <f t="shared" si="80"/>
        <v>6043.4470399999991</v>
      </c>
      <c r="L79" s="22">
        <f t="shared" si="81"/>
        <v>6100.5435600000001</v>
      </c>
      <c r="M79" s="22">
        <f t="shared" si="82"/>
        <v>6157.6400799999992</v>
      </c>
      <c r="N79" s="22">
        <f t="shared" si="83"/>
        <v>6214.7366000000002</v>
      </c>
      <c r="O79" s="22">
        <f t="shared" si="84"/>
        <v>6271.8331199999993</v>
      </c>
      <c r="P79" s="22">
        <f t="shared" si="85"/>
        <v>6328.9296400000003</v>
      </c>
      <c r="Q79" s="22">
        <f t="shared" si="86"/>
        <v>6377.24208</v>
      </c>
      <c r="R79" s="22">
        <f t="shared" si="87"/>
        <v>6412.3783999999996</v>
      </c>
      <c r="S79" s="30">
        <f t="shared" ref="S79:S89" si="92">SUM(B79*1.308+B79*0.16)</f>
        <v>6447.514720000001</v>
      </c>
      <c r="T79" s="22">
        <f t="shared" ref="T79:T89" si="93">AVERAGE(G79:J79)</f>
        <v>5900.7057399999994</v>
      </c>
      <c r="U79" s="22">
        <f>T79*12</f>
        <v>70808.46888</v>
      </c>
    </row>
    <row r="80" spans="1:21" x14ac:dyDescent="0.3">
      <c r="A80" s="21">
        <v>12</v>
      </c>
      <c r="B80" s="22">
        <v>4673.22</v>
      </c>
      <c r="C80" s="22">
        <f t="shared" si="88"/>
        <v>5799.4660199999998</v>
      </c>
      <c r="D80" s="22">
        <f t="shared" si="89"/>
        <v>5897.6036400000012</v>
      </c>
      <c r="E80" s="22">
        <f t="shared" si="90"/>
        <v>6000.4144800000013</v>
      </c>
      <c r="F80" s="22">
        <f t="shared" si="91"/>
        <v>6098.5521000000008</v>
      </c>
      <c r="G80" s="22">
        <f t="shared" si="76"/>
        <v>6187.3432799999991</v>
      </c>
      <c r="H80" s="22">
        <f t="shared" si="77"/>
        <v>6248.0951400000013</v>
      </c>
      <c r="I80" s="22">
        <f t="shared" si="78"/>
        <v>6308.8469999999998</v>
      </c>
      <c r="J80" s="22">
        <f t="shared" si="79"/>
        <v>6369.5988600000001</v>
      </c>
      <c r="K80" s="22">
        <f t="shared" si="80"/>
        <v>6430.3507200000004</v>
      </c>
      <c r="L80" s="22">
        <f t="shared" si="81"/>
        <v>6491.1025800000007</v>
      </c>
      <c r="M80" s="22">
        <f t="shared" si="82"/>
        <v>6551.854440000001</v>
      </c>
      <c r="N80" s="22">
        <f t="shared" si="83"/>
        <v>6612.6062999999995</v>
      </c>
      <c r="O80" s="22">
        <f t="shared" si="84"/>
        <v>6673.3581599999998</v>
      </c>
      <c r="P80" s="22">
        <f t="shared" si="85"/>
        <v>6734.1100200000001</v>
      </c>
      <c r="Q80" s="22">
        <f t="shared" si="86"/>
        <v>6785.515440000001</v>
      </c>
      <c r="R80" s="22">
        <f t="shared" si="87"/>
        <v>6822.9012000000002</v>
      </c>
      <c r="S80" s="30">
        <f t="shared" si="92"/>
        <v>6860.2869600000013</v>
      </c>
      <c r="T80" s="22">
        <f t="shared" si="93"/>
        <v>6278.4710699999996</v>
      </c>
      <c r="U80" s="22">
        <f t="shared" ref="U80:U89" si="94">T80*12</f>
        <v>75341.652839999995</v>
      </c>
    </row>
    <row r="81" spans="1:21" x14ac:dyDescent="0.3">
      <c r="A81" s="21">
        <v>13</v>
      </c>
      <c r="B81" s="22">
        <v>4909.04</v>
      </c>
      <c r="C81" s="22">
        <f t="shared" si="88"/>
        <v>6092.1186399999997</v>
      </c>
      <c r="D81" s="22">
        <f t="shared" si="89"/>
        <v>6195.2084800000002</v>
      </c>
      <c r="E81" s="22">
        <f t="shared" si="90"/>
        <v>6303.2073600000003</v>
      </c>
      <c r="F81" s="22">
        <f t="shared" si="91"/>
        <v>6406.2972</v>
      </c>
      <c r="G81" s="22">
        <f t="shared" si="76"/>
        <v>6499.5689599999996</v>
      </c>
      <c r="H81" s="22">
        <f t="shared" si="77"/>
        <v>6563.3864800000001</v>
      </c>
      <c r="I81" s="22">
        <f t="shared" si="78"/>
        <v>6627.2039999999997</v>
      </c>
      <c r="J81" s="22">
        <f t="shared" si="79"/>
        <v>6691.0215200000002</v>
      </c>
      <c r="K81" s="22">
        <f t="shared" si="80"/>
        <v>6754.8390399999998</v>
      </c>
      <c r="L81" s="22">
        <f t="shared" si="81"/>
        <v>6818.6565600000004</v>
      </c>
      <c r="M81" s="22">
        <f t="shared" si="82"/>
        <v>6882.47408</v>
      </c>
      <c r="N81" s="22">
        <f t="shared" si="83"/>
        <v>6946.2915999999996</v>
      </c>
      <c r="O81" s="22">
        <f t="shared" si="84"/>
        <v>7010.1091200000001</v>
      </c>
      <c r="P81" s="22">
        <f t="shared" si="85"/>
        <v>7073.9266399999997</v>
      </c>
      <c r="Q81" s="22">
        <f t="shared" si="86"/>
        <v>7127.9260800000002</v>
      </c>
      <c r="R81" s="22">
        <f t="shared" si="87"/>
        <v>7167.1984000000002</v>
      </c>
      <c r="S81" s="30">
        <f t="shared" si="92"/>
        <v>7206.4707200000003</v>
      </c>
      <c r="T81" s="22">
        <f t="shared" si="93"/>
        <v>6595.2952399999995</v>
      </c>
      <c r="U81" s="22">
        <f t="shared" si="94"/>
        <v>79143.542879999994</v>
      </c>
    </row>
    <row r="82" spans="1:21" x14ac:dyDescent="0.3">
      <c r="A82" s="21">
        <v>14</v>
      </c>
      <c r="B82" s="22">
        <v>5100.88</v>
      </c>
      <c r="C82" s="22">
        <f t="shared" si="88"/>
        <v>6330.1920799999998</v>
      </c>
      <c r="D82" s="22">
        <f t="shared" si="89"/>
        <v>6437.3105600000008</v>
      </c>
      <c r="E82" s="22">
        <f t="shared" si="90"/>
        <v>6549.5299200000009</v>
      </c>
      <c r="F82" s="22">
        <f t="shared" si="91"/>
        <v>6656.6484</v>
      </c>
      <c r="G82" s="22">
        <f t="shared" si="76"/>
        <v>6753.5651200000002</v>
      </c>
      <c r="H82" s="22">
        <f t="shared" si="77"/>
        <v>6819.8765600000006</v>
      </c>
      <c r="I82" s="22">
        <f t="shared" si="78"/>
        <v>6886.1880000000001</v>
      </c>
      <c r="J82" s="22">
        <f t="shared" si="79"/>
        <v>6952.4994400000005</v>
      </c>
      <c r="K82" s="22">
        <f t="shared" si="80"/>
        <v>7018.81088</v>
      </c>
      <c r="L82" s="22">
        <f t="shared" si="81"/>
        <v>7085.1223200000004</v>
      </c>
      <c r="M82" s="22">
        <f t="shared" si="82"/>
        <v>7151.4337599999999</v>
      </c>
      <c r="N82" s="22">
        <f t="shared" si="83"/>
        <v>7217.7451999999994</v>
      </c>
      <c r="O82" s="22">
        <f t="shared" si="84"/>
        <v>7284.0566400000007</v>
      </c>
      <c r="P82" s="22">
        <f t="shared" si="85"/>
        <v>7350.3680800000002</v>
      </c>
      <c r="Q82" s="22">
        <f t="shared" si="86"/>
        <v>7406.4777600000007</v>
      </c>
      <c r="R82" s="22">
        <f t="shared" si="87"/>
        <v>7447.2848000000004</v>
      </c>
      <c r="S82" s="30">
        <f t="shared" si="92"/>
        <v>7488.091840000001</v>
      </c>
      <c r="T82" s="22">
        <f t="shared" si="93"/>
        <v>6853.0322799999994</v>
      </c>
      <c r="U82" s="22">
        <f t="shared" si="94"/>
        <v>82236.387359999993</v>
      </c>
    </row>
    <row r="83" spans="1:21" x14ac:dyDescent="0.3">
      <c r="A83" s="21">
        <v>15</v>
      </c>
      <c r="B83" s="22">
        <v>5278.07</v>
      </c>
      <c r="C83" s="22">
        <f t="shared" si="88"/>
        <v>6550.0848699999988</v>
      </c>
      <c r="D83" s="22">
        <f t="shared" si="89"/>
        <v>6660.9243399999996</v>
      </c>
      <c r="E83" s="22">
        <f t="shared" si="90"/>
        <v>6777.0418800000007</v>
      </c>
      <c r="F83" s="22">
        <f t="shared" si="91"/>
        <v>6887.8813499999997</v>
      </c>
      <c r="G83" s="22">
        <f t="shared" si="76"/>
        <v>6988.1646799999999</v>
      </c>
      <c r="H83" s="22">
        <f t="shared" si="77"/>
        <v>7056.7795900000001</v>
      </c>
      <c r="I83" s="22">
        <f t="shared" si="78"/>
        <v>7125.3944999999985</v>
      </c>
      <c r="J83" s="22">
        <f t="shared" si="79"/>
        <v>7194.0094100000006</v>
      </c>
      <c r="K83" s="22">
        <f t="shared" si="80"/>
        <v>7262.624319999999</v>
      </c>
      <c r="L83" s="22">
        <f t="shared" si="81"/>
        <v>7331.2392299999992</v>
      </c>
      <c r="M83" s="22">
        <f t="shared" si="82"/>
        <v>7399.8541399999995</v>
      </c>
      <c r="N83" s="22">
        <f t="shared" si="83"/>
        <v>7468.4690499999997</v>
      </c>
      <c r="O83" s="22">
        <f t="shared" si="84"/>
        <v>7537.0839599999999</v>
      </c>
      <c r="P83" s="22">
        <f t="shared" si="85"/>
        <v>7605.6988699999984</v>
      </c>
      <c r="Q83" s="22">
        <f t="shared" si="86"/>
        <v>7663.7576399999998</v>
      </c>
      <c r="R83" s="22">
        <f t="shared" si="87"/>
        <v>7705.9822000000004</v>
      </c>
      <c r="S83" s="30">
        <f t="shared" si="92"/>
        <v>7748.2067599999991</v>
      </c>
      <c r="T83" s="22">
        <f t="shared" si="93"/>
        <v>7091.0870450000002</v>
      </c>
      <c r="U83" s="22">
        <f t="shared" si="94"/>
        <v>85093.044540000003</v>
      </c>
    </row>
    <row r="84" spans="1:21" x14ac:dyDescent="0.3">
      <c r="A84" s="21">
        <v>16</v>
      </c>
      <c r="B84" s="22">
        <v>5446.55</v>
      </c>
      <c r="C84" s="22">
        <f t="shared" si="88"/>
        <v>6759.1685500000003</v>
      </c>
      <c r="D84" s="22">
        <f t="shared" si="89"/>
        <v>6873.5461000000014</v>
      </c>
      <c r="E84" s="22">
        <f t="shared" si="90"/>
        <v>6993.3702000000012</v>
      </c>
      <c r="F84" s="22">
        <f t="shared" si="91"/>
        <v>7107.7477500000005</v>
      </c>
      <c r="G84" s="22">
        <f t="shared" si="76"/>
        <v>7211.2322000000004</v>
      </c>
      <c r="H84" s="22">
        <f t="shared" si="77"/>
        <v>7282.0373500000005</v>
      </c>
      <c r="I84" s="22">
        <f t="shared" si="78"/>
        <v>7352.8425000000007</v>
      </c>
      <c r="J84" s="22">
        <f t="shared" si="79"/>
        <v>7423.6476500000008</v>
      </c>
      <c r="K84" s="22">
        <f t="shared" si="80"/>
        <v>7494.4528</v>
      </c>
      <c r="L84" s="22">
        <f t="shared" si="81"/>
        <v>7565.2579500000011</v>
      </c>
      <c r="M84" s="22">
        <f t="shared" si="82"/>
        <v>7636.0631000000003</v>
      </c>
      <c r="N84" s="22">
        <f t="shared" si="83"/>
        <v>7706.8682499999995</v>
      </c>
      <c r="O84" s="22">
        <f t="shared" si="84"/>
        <v>7777.6734000000006</v>
      </c>
      <c r="P84" s="22">
        <f t="shared" si="85"/>
        <v>7848.4785499999998</v>
      </c>
      <c r="Q84" s="22">
        <f t="shared" si="86"/>
        <v>7908.3906000000006</v>
      </c>
      <c r="R84" s="22">
        <f t="shared" si="87"/>
        <v>7951.9630000000006</v>
      </c>
      <c r="S84" s="30">
        <f t="shared" si="92"/>
        <v>7995.5354000000007</v>
      </c>
      <c r="T84" s="22">
        <f t="shared" si="93"/>
        <v>7317.4399250000006</v>
      </c>
      <c r="U84" s="22">
        <f t="shared" si="94"/>
        <v>87809.279100000014</v>
      </c>
    </row>
    <row r="85" spans="1:21" x14ac:dyDescent="0.3">
      <c r="A85" s="21">
        <v>17</v>
      </c>
      <c r="B85" s="22">
        <v>5869.78</v>
      </c>
      <c r="C85" s="22">
        <f t="shared" si="88"/>
        <v>7284.3969799999995</v>
      </c>
      <c r="D85" s="22">
        <f t="shared" si="89"/>
        <v>7407.6623600000003</v>
      </c>
      <c r="E85" s="22">
        <f t="shared" si="90"/>
        <v>7536.7975200000001</v>
      </c>
      <c r="F85" s="22">
        <f t="shared" si="91"/>
        <v>7660.062899999999</v>
      </c>
      <c r="G85" s="22">
        <f t="shared" si="76"/>
        <v>7771.5887199999997</v>
      </c>
      <c r="H85" s="22">
        <f t="shared" si="77"/>
        <v>7847.8958600000005</v>
      </c>
      <c r="I85" s="22">
        <f t="shared" si="78"/>
        <v>7924.2029999999995</v>
      </c>
      <c r="J85" s="22">
        <f t="shared" si="79"/>
        <v>8000.5101400000003</v>
      </c>
      <c r="K85" s="22">
        <f t="shared" si="80"/>
        <v>8076.8172799999993</v>
      </c>
      <c r="L85" s="22">
        <f t="shared" si="81"/>
        <v>8153.1244200000001</v>
      </c>
      <c r="M85" s="22">
        <f t="shared" si="82"/>
        <v>8229.4315599999991</v>
      </c>
      <c r="N85" s="22">
        <f t="shared" si="83"/>
        <v>8305.7386999999999</v>
      </c>
      <c r="O85" s="22">
        <f t="shared" si="84"/>
        <v>8382.0458400000007</v>
      </c>
      <c r="P85" s="22">
        <f t="shared" si="85"/>
        <v>8458.3529799999997</v>
      </c>
      <c r="Q85" s="22">
        <f t="shared" si="86"/>
        <v>8522.9205600000005</v>
      </c>
      <c r="R85" s="22">
        <f t="shared" si="87"/>
        <v>8569.8788000000004</v>
      </c>
      <c r="S85" s="30">
        <f t="shared" si="92"/>
        <v>8616.8370400000003</v>
      </c>
      <c r="T85" s="22">
        <f t="shared" si="93"/>
        <v>7886.0494299999991</v>
      </c>
      <c r="U85" s="22">
        <f t="shared" si="94"/>
        <v>94632.593159999989</v>
      </c>
    </row>
    <row r="86" spans="1:21" x14ac:dyDescent="0.3">
      <c r="A86" s="21">
        <v>18</v>
      </c>
      <c r="B86" s="22">
        <v>6141.81</v>
      </c>
      <c r="C86" s="22">
        <f t="shared" si="88"/>
        <v>7621.98621</v>
      </c>
      <c r="D86" s="22">
        <f t="shared" si="89"/>
        <v>7750.9642200000008</v>
      </c>
      <c r="E86" s="22">
        <f t="shared" si="90"/>
        <v>7886.0840400000006</v>
      </c>
      <c r="F86" s="22">
        <f t="shared" si="91"/>
        <v>8015.0620500000005</v>
      </c>
      <c r="G86" s="22">
        <f t="shared" si="76"/>
        <v>8131.7564400000001</v>
      </c>
      <c r="H86" s="22">
        <f t="shared" si="77"/>
        <v>8211.5999700000011</v>
      </c>
      <c r="I86" s="22">
        <f t="shared" si="78"/>
        <v>8291.4434999999994</v>
      </c>
      <c r="J86" s="22">
        <f t="shared" si="79"/>
        <v>8371.2870300000013</v>
      </c>
      <c r="K86" s="22">
        <f t="shared" si="80"/>
        <v>8451.1305599999996</v>
      </c>
      <c r="L86" s="22">
        <f t="shared" si="81"/>
        <v>8530.9740900000015</v>
      </c>
      <c r="M86" s="22">
        <f t="shared" si="82"/>
        <v>8610.8176199999998</v>
      </c>
      <c r="N86" s="22">
        <f t="shared" si="83"/>
        <v>8690.6611499999999</v>
      </c>
      <c r="O86" s="22">
        <f t="shared" si="84"/>
        <v>8770.50468</v>
      </c>
      <c r="P86" s="22">
        <f t="shared" si="85"/>
        <v>8850.3482100000001</v>
      </c>
      <c r="Q86" s="22">
        <f t="shared" si="86"/>
        <v>8917.9081200000001</v>
      </c>
      <c r="R86" s="22">
        <f t="shared" si="87"/>
        <v>8967.0426000000007</v>
      </c>
      <c r="S86" s="30">
        <f t="shared" si="92"/>
        <v>9016.1770800000013</v>
      </c>
      <c r="T86" s="22">
        <f t="shared" si="93"/>
        <v>8251.5217350000003</v>
      </c>
      <c r="U86" s="22">
        <f t="shared" si="94"/>
        <v>99018.260819999996</v>
      </c>
    </row>
    <row r="87" spans="1:21" x14ac:dyDescent="0.3">
      <c r="A87" s="21">
        <v>19</v>
      </c>
      <c r="B87" s="22">
        <v>6395.91</v>
      </c>
      <c r="C87" s="22">
        <f t="shared" si="88"/>
        <v>7937.3243099999991</v>
      </c>
      <c r="D87" s="22">
        <f t="shared" si="89"/>
        <v>8071.6384200000002</v>
      </c>
      <c r="E87" s="22">
        <f t="shared" si="90"/>
        <v>8212.3484399999998</v>
      </c>
      <c r="F87" s="22">
        <f t="shared" si="91"/>
        <v>8346.6625500000009</v>
      </c>
      <c r="G87" s="22">
        <f t="shared" si="76"/>
        <v>8468.1848399999999</v>
      </c>
      <c r="H87" s="22">
        <f t="shared" si="77"/>
        <v>8551.3316699999996</v>
      </c>
      <c r="I87" s="22">
        <f t="shared" si="78"/>
        <v>8634.4784999999993</v>
      </c>
      <c r="J87" s="22">
        <f t="shared" si="79"/>
        <v>8717.6253300000008</v>
      </c>
      <c r="K87" s="22">
        <f t="shared" si="80"/>
        <v>8800.7721600000004</v>
      </c>
      <c r="L87" s="22">
        <f t="shared" si="81"/>
        <v>8883.9189900000001</v>
      </c>
      <c r="M87" s="22">
        <f t="shared" si="82"/>
        <v>8967.0658199999998</v>
      </c>
      <c r="N87" s="22">
        <f t="shared" si="83"/>
        <v>9050.2126499999995</v>
      </c>
      <c r="O87" s="22">
        <f t="shared" si="84"/>
        <v>9133.3594799999992</v>
      </c>
      <c r="P87" s="22">
        <f t="shared" si="85"/>
        <v>9216.5063100000007</v>
      </c>
      <c r="Q87" s="22">
        <f t="shared" si="86"/>
        <v>9286.86132</v>
      </c>
      <c r="R87" s="22">
        <f t="shared" si="87"/>
        <v>9338.0286000000015</v>
      </c>
      <c r="S87" s="30">
        <f t="shared" si="92"/>
        <v>9389.1958800000011</v>
      </c>
      <c r="T87" s="22">
        <f t="shared" si="93"/>
        <v>8592.9050850000003</v>
      </c>
      <c r="U87" s="22">
        <f t="shared" si="94"/>
        <v>103114.86102000001</v>
      </c>
    </row>
    <row r="88" spans="1:21" x14ac:dyDescent="0.3">
      <c r="A88" s="21">
        <v>20</v>
      </c>
      <c r="B88" s="22">
        <v>6643.12</v>
      </c>
      <c r="C88" s="22">
        <f t="shared" si="88"/>
        <v>8244.1119199999994</v>
      </c>
      <c r="D88" s="22">
        <f t="shared" si="89"/>
        <v>8383.61744</v>
      </c>
      <c r="E88" s="22">
        <f t="shared" si="90"/>
        <v>8529.7660800000012</v>
      </c>
      <c r="F88" s="22">
        <f t="shared" si="91"/>
        <v>8669.2716</v>
      </c>
      <c r="G88" s="22">
        <f t="shared" si="76"/>
        <v>8795.4908799999994</v>
      </c>
      <c r="H88" s="22">
        <f t="shared" si="77"/>
        <v>8881.8514400000004</v>
      </c>
      <c r="I88" s="22">
        <f t="shared" si="78"/>
        <v>8968.2119999999995</v>
      </c>
      <c r="J88" s="22">
        <f t="shared" si="79"/>
        <v>9054.5725600000005</v>
      </c>
      <c r="K88" s="22">
        <f t="shared" si="80"/>
        <v>9140.9331199999997</v>
      </c>
      <c r="L88" s="22">
        <f t="shared" si="81"/>
        <v>9227.2936800000007</v>
      </c>
      <c r="M88" s="22">
        <f t="shared" si="82"/>
        <v>9313.6542399999998</v>
      </c>
      <c r="N88" s="22">
        <f t="shared" si="83"/>
        <v>9400.014799999999</v>
      </c>
      <c r="O88" s="22">
        <f t="shared" si="84"/>
        <v>9486.37536</v>
      </c>
      <c r="P88" s="22">
        <f t="shared" si="85"/>
        <v>9572.7359199999992</v>
      </c>
      <c r="Q88" s="22">
        <f t="shared" si="86"/>
        <v>9645.8102400000007</v>
      </c>
      <c r="R88" s="22">
        <f t="shared" si="87"/>
        <v>9698.9552000000003</v>
      </c>
      <c r="S88" s="30">
        <f t="shared" si="92"/>
        <v>9752.10016</v>
      </c>
      <c r="T88" s="22">
        <f t="shared" si="93"/>
        <v>8925.031719999999</v>
      </c>
      <c r="U88" s="22">
        <f t="shared" si="94"/>
        <v>107100.38063999999</v>
      </c>
    </row>
    <row r="89" spans="1:21" x14ac:dyDescent="0.3">
      <c r="A89" s="23">
        <v>21</v>
      </c>
      <c r="B89" s="24">
        <v>6927.41</v>
      </c>
      <c r="C89" s="24">
        <f t="shared" si="88"/>
        <v>8596.9158100000004</v>
      </c>
      <c r="D89" s="24">
        <f t="shared" si="89"/>
        <v>8742.3914199999999</v>
      </c>
      <c r="E89" s="24">
        <f t="shared" si="90"/>
        <v>8894.7944400000015</v>
      </c>
      <c r="F89" s="24">
        <f t="shared" si="91"/>
        <v>9040.2700499999992</v>
      </c>
      <c r="G89" s="24">
        <f t="shared" si="76"/>
        <v>9171.89084</v>
      </c>
      <c r="H89" s="24">
        <f t="shared" si="77"/>
        <v>9261.9471699999995</v>
      </c>
      <c r="I89" s="24">
        <f t="shared" si="78"/>
        <v>9352.0034999999989</v>
      </c>
      <c r="J89" s="24">
        <f t="shared" si="79"/>
        <v>9442.0598300000001</v>
      </c>
      <c r="K89" s="24">
        <f t="shared" si="80"/>
        <v>9532.1161599999996</v>
      </c>
      <c r="L89" s="24">
        <f>SUM(B89*1.229+B89*0.16)</f>
        <v>9622.1724900000008</v>
      </c>
      <c r="M89" s="24">
        <f t="shared" si="82"/>
        <v>9712.2288200000003</v>
      </c>
      <c r="N89" s="24">
        <f t="shared" si="83"/>
        <v>9802.2851499999979</v>
      </c>
      <c r="O89" s="24">
        <f t="shared" si="84"/>
        <v>9892.3414799999991</v>
      </c>
      <c r="P89" s="24">
        <f t="shared" si="85"/>
        <v>9982.3978099999986</v>
      </c>
      <c r="Q89" s="24">
        <f t="shared" si="86"/>
        <v>10058.599319999999</v>
      </c>
      <c r="R89" s="24">
        <f t="shared" si="87"/>
        <v>10114.018599999999</v>
      </c>
      <c r="S89" s="31">
        <f t="shared" si="92"/>
        <v>10169.437879999999</v>
      </c>
      <c r="T89" s="24">
        <f t="shared" si="93"/>
        <v>9306.9753349999992</v>
      </c>
      <c r="U89" s="24">
        <f t="shared" si="94"/>
        <v>111683.70401999999</v>
      </c>
    </row>
    <row r="91" spans="1:21" x14ac:dyDescent="0.3">
      <c r="A91" s="58" t="str">
        <f>A1</f>
        <v>YHDISTELMÄ PALKKATAULUKKO 1.7.2025</v>
      </c>
      <c r="B91" s="59"/>
      <c r="C91" s="59"/>
      <c r="D91" s="59"/>
      <c r="E91" s="59"/>
      <c r="G91" s="6" t="str">
        <f>G1</f>
        <v>SAMMANSATT LÖNETABELL 1.7.2025</v>
      </c>
    </row>
    <row r="92" spans="1:21" x14ac:dyDescent="0.3">
      <c r="A92" s="6" t="s">
        <v>51</v>
      </c>
    </row>
    <row r="93" spans="1:21" ht="13.5" thickBot="1" x14ac:dyDescent="0.35">
      <c r="A93" s="6" t="s">
        <v>52</v>
      </c>
      <c r="B93" s="6"/>
      <c r="C93" s="6"/>
      <c r="D93" s="6"/>
      <c r="E93" s="6"/>
      <c r="F93" s="6"/>
      <c r="G93" s="6" t="str">
        <f>'[1]01082014 tarkentava ves'!G116</f>
        <v>kravnivå 11</v>
      </c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</row>
    <row r="94" spans="1:21" ht="31.5" customHeight="1" x14ac:dyDescent="0.3">
      <c r="T94" s="10" t="s">
        <v>10</v>
      </c>
      <c r="U94" s="11"/>
    </row>
    <row r="95" spans="1:21" ht="12.75" customHeight="1" x14ac:dyDescent="0.3">
      <c r="A95" s="49" t="s">
        <v>7</v>
      </c>
      <c r="B95" s="49" t="s">
        <v>8</v>
      </c>
      <c r="C95" s="55" t="str">
        <f>C5</f>
        <v>Suorituspisteet ja suoritustasot /</v>
      </c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7"/>
      <c r="T95" s="26"/>
      <c r="U95" s="27"/>
    </row>
    <row r="96" spans="1:21" ht="13.5" thickBot="1" x14ac:dyDescent="0.35">
      <c r="A96" s="50"/>
      <c r="B96" s="50"/>
      <c r="C96" s="12" t="s">
        <v>11</v>
      </c>
      <c r="D96" s="13" t="s">
        <v>12</v>
      </c>
      <c r="E96" s="12" t="s">
        <v>13</v>
      </c>
      <c r="F96" s="13" t="s">
        <v>14</v>
      </c>
      <c r="G96" s="12" t="s">
        <v>15</v>
      </c>
      <c r="H96" s="13" t="s">
        <v>16</v>
      </c>
      <c r="I96" s="12" t="s">
        <v>17</v>
      </c>
      <c r="J96" s="13" t="s">
        <v>18</v>
      </c>
      <c r="K96" s="12" t="s">
        <v>19</v>
      </c>
      <c r="L96" s="13" t="s">
        <v>20</v>
      </c>
      <c r="M96" s="12" t="s">
        <v>21</v>
      </c>
      <c r="N96" s="13" t="s">
        <v>22</v>
      </c>
      <c r="O96" s="12" t="s">
        <v>23</v>
      </c>
      <c r="P96" s="13" t="s">
        <v>24</v>
      </c>
      <c r="Q96" s="12" t="s">
        <v>25</v>
      </c>
      <c r="R96" s="13" t="s">
        <v>26</v>
      </c>
      <c r="S96" s="12" t="s">
        <v>27</v>
      </c>
      <c r="T96" s="14"/>
      <c r="U96" s="15"/>
    </row>
    <row r="97" spans="1:21" ht="26" x14ac:dyDescent="0.3">
      <c r="A97" s="51"/>
      <c r="B97" s="51"/>
      <c r="C97" s="16" t="s">
        <v>28</v>
      </c>
      <c r="D97" s="17" t="s">
        <v>29</v>
      </c>
      <c r="E97" s="16" t="s">
        <v>30</v>
      </c>
      <c r="F97" s="17" t="s">
        <v>31</v>
      </c>
      <c r="G97" s="16" t="s">
        <v>32</v>
      </c>
      <c r="H97" s="17" t="s">
        <v>33</v>
      </c>
      <c r="I97" s="16" t="s">
        <v>34</v>
      </c>
      <c r="J97" s="17" t="s">
        <v>35</v>
      </c>
      <c r="K97" s="16" t="s">
        <v>36</v>
      </c>
      <c r="L97" s="17" t="s">
        <v>37</v>
      </c>
      <c r="M97" s="16" t="s">
        <v>38</v>
      </c>
      <c r="N97" s="17" t="s">
        <v>39</v>
      </c>
      <c r="O97" s="16" t="s">
        <v>40</v>
      </c>
      <c r="P97" s="17" t="s">
        <v>41</v>
      </c>
      <c r="Q97" s="16" t="s">
        <v>42</v>
      </c>
      <c r="R97" s="17" t="s">
        <v>43</v>
      </c>
      <c r="S97" s="16" t="s">
        <v>44</v>
      </c>
      <c r="T97" s="28" t="s">
        <v>45</v>
      </c>
      <c r="U97" s="29" t="s">
        <v>46</v>
      </c>
    </row>
    <row r="98" spans="1:21" x14ac:dyDescent="0.3">
      <c r="A98" s="32" t="s">
        <v>53</v>
      </c>
      <c r="B98" s="33">
        <f>B9</f>
        <v>4392.04</v>
      </c>
      <c r="C98" s="22">
        <f t="shared" ref="C98:S98" si="95">SUM(C9)</f>
        <v>4747.7952399999995</v>
      </c>
      <c r="D98" s="22">
        <f t="shared" si="95"/>
        <v>4840.02808</v>
      </c>
      <c r="E98" s="22">
        <f t="shared" si="95"/>
        <v>4936.6529600000003</v>
      </c>
      <c r="F98" s="22">
        <f t="shared" si="95"/>
        <v>5028.8858</v>
      </c>
      <c r="G98" s="22">
        <f t="shared" si="95"/>
        <v>5112.3345599999993</v>
      </c>
      <c r="H98" s="22">
        <f t="shared" si="95"/>
        <v>5169.4310800000003</v>
      </c>
      <c r="I98" s="22">
        <f t="shared" si="95"/>
        <v>5226.5275999999994</v>
      </c>
      <c r="J98" s="22">
        <f t="shared" si="95"/>
        <v>5283.6241200000004</v>
      </c>
      <c r="K98" s="22">
        <f t="shared" si="95"/>
        <v>5340.7206399999995</v>
      </c>
      <c r="L98" s="22">
        <f t="shared" si="95"/>
        <v>5397.8171600000005</v>
      </c>
      <c r="M98" s="22">
        <f t="shared" si="95"/>
        <v>5454.9136799999997</v>
      </c>
      <c r="N98" s="22">
        <f t="shared" si="95"/>
        <v>5512.0101999999997</v>
      </c>
      <c r="O98" s="22">
        <f t="shared" si="95"/>
        <v>5569.1067199999998</v>
      </c>
      <c r="P98" s="22">
        <f t="shared" si="95"/>
        <v>5626.2032399999998</v>
      </c>
      <c r="Q98" s="22">
        <f t="shared" si="95"/>
        <v>5674.5156800000004</v>
      </c>
      <c r="R98" s="22">
        <f t="shared" si="95"/>
        <v>5709.652</v>
      </c>
      <c r="S98" s="30">
        <f t="shared" si="95"/>
        <v>5744.7883200000006</v>
      </c>
      <c r="T98" s="30">
        <f>AVERAGE(G98:J98)</f>
        <v>5197.9793399999999</v>
      </c>
      <c r="U98" s="30">
        <f>T98*12</f>
        <v>62375.752079999998</v>
      </c>
    </row>
    <row r="99" spans="1:21" x14ac:dyDescent="0.3">
      <c r="A99" s="32" t="s">
        <v>54</v>
      </c>
      <c r="B99" s="33">
        <f>SUM(B98*1.04)</f>
        <v>4567.7215999999999</v>
      </c>
      <c r="C99" s="22">
        <f t="shared" ref="C99:S99" si="96">SUM(C26)</f>
        <v>4923.4768399999994</v>
      </c>
      <c r="D99" s="22">
        <f t="shared" si="96"/>
        <v>5015.7096799999999</v>
      </c>
      <c r="E99" s="22">
        <f t="shared" si="96"/>
        <v>5112.3345600000002</v>
      </c>
      <c r="F99" s="22">
        <f t="shared" si="96"/>
        <v>5204.5673999999999</v>
      </c>
      <c r="G99" s="22">
        <f t="shared" si="96"/>
        <v>5288.0161599999992</v>
      </c>
      <c r="H99" s="22">
        <f t="shared" si="96"/>
        <v>5345.1126800000002</v>
      </c>
      <c r="I99" s="22">
        <f t="shared" si="96"/>
        <v>5402.2091999999993</v>
      </c>
      <c r="J99" s="22">
        <f t="shared" si="96"/>
        <v>5459.3057200000003</v>
      </c>
      <c r="K99" s="22">
        <f t="shared" si="96"/>
        <v>5516.4022399999994</v>
      </c>
      <c r="L99" s="22">
        <f t="shared" si="96"/>
        <v>5573.4987600000004</v>
      </c>
      <c r="M99" s="22">
        <f t="shared" si="96"/>
        <v>5630.5952799999995</v>
      </c>
      <c r="N99" s="22">
        <f t="shared" si="96"/>
        <v>5687.6917999999996</v>
      </c>
      <c r="O99" s="22">
        <f t="shared" si="96"/>
        <v>5744.7883199999997</v>
      </c>
      <c r="P99" s="22">
        <f t="shared" si="96"/>
        <v>5801.8848399999997</v>
      </c>
      <c r="Q99" s="22">
        <f t="shared" si="96"/>
        <v>5850.1972800000003</v>
      </c>
      <c r="R99" s="22">
        <f t="shared" si="96"/>
        <v>5885.3335999999999</v>
      </c>
      <c r="S99" s="30">
        <f t="shared" si="96"/>
        <v>5920.4699200000005</v>
      </c>
      <c r="T99" s="30">
        <f t="shared" ref="T99:T102" si="97">AVERAGE(G99:J99)</f>
        <v>5373.6609399999998</v>
      </c>
      <c r="U99" s="30">
        <f t="shared" ref="U99:U102" si="98">T99*12</f>
        <v>64483.931279999997</v>
      </c>
    </row>
    <row r="100" spans="1:21" x14ac:dyDescent="0.3">
      <c r="A100" s="32" t="s">
        <v>55</v>
      </c>
      <c r="B100" s="33">
        <f>SUM(B98*1.07)</f>
        <v>4699.4828000000007</v>
      </c>
      <c r="C100" s="22">
        <f t="shared" ref="C100:S100" si="99">SUM(C43)</f>
        <v>5055.2380399999993</v>
      </c>
      <c r="D100" s="22">
        <f t="shared" si="99"/>
        <v>5147.4708799999999</v>
      </c>
      <c r="E100" s="22">
        <f t="shared" si="99"/>
        <v>5244.0957600000002</v>
      </c>
      <c r="F100" s="22">
        <f t="shared" si="99"/>
        <v>5336.3285999999998</v>
      </c>
      <c r="G100" s="22">
        <f t="shared" si="99"/>
        <v>5419.7773599999991</v>
      </c>
      <c r="H100" s="22">
        <f t="shared" si="99"/>
        <v>5476.8738800000001</v>
      </c>
      <c r="I100" s="22">
        <f t="shared" si="99"/>
        <v>5533.9703999999992</v>
      </c>
      <c r="J100" s="22">
        <f t="shared" si="99"/>
        <v>5591.0669200000002</v>
      </c>
      <c r="K100" s="22">
        <f t="shared" si="99"/>
        <v>5648.1634399999994</v>
      </c>
      <c r="L100" s="22">
        <f t="shared" si="99"/>
        <v>5705.2599600000003</v>
      </c>
      <c r="M100" s="22">
        <f t="shared" si="99"/>
        <v>5762.3564799999995</v>
      </c>
      <c r="N100" s="22">
        <f t="shared" si="99"/>
        <v>5819.4529999999995</v>
      </c>
      <c r="O100" s="22">
        <f t="shared" si="99"/>
        <v>5876.5495199999996</v>
      </c>
      <c r="P100" s="22">
        <f t="shared" si="99"/>
        <v>5933.6460399999996</v>
      </c>
      <c r="Q100" s="22">
        <f t="shared" si="99"/>
        <v>5981.9584800000002</v>
      </c>
      <c r="R100" s="22">
        <f t="shared" si="99"/>
        <v>6017.0947999999999</v>
      </c>
      <c r="S100" s="30">
        <f t="shared" si="99"/>
        <v>6052.2311200000004</v>
      </c>
      <c r="T100" s="30">
        <f t="shared" si="97"/>
        <v>5505.4221399999997</v>
      </c>
      <c r="U100" s="30">
        <f t="shared" si="98"/>
        <v>66065.06568</v>
      </c>
    </row>
    <row r="101" spans="1:21" x14ac:dyDescent="0.3">
      <c r="A101" s="32" t="s">
        <v>56</v>
      </c>
      <c r="B101" s="33">
        <f>SUM(B98*1.12)</f>
        <v>4919.0848000000005</v>
      </c>
      <c r="C101" s="22">
        <f t="shared" ref="C101:S101" si="100">SUM(C61)</f>
        <v>5274.8400399999991</v>
      </c>
      <c r="D101" s="22">
        <f t="shared" si="100"/>
        <v>5367.0728799999997</v>
      </c>
      <c r="E101" s="22">
        <f t="shared" si="100"/>
        <v>5463.69776</v>
      </c>
      <c r="F101" s="22">
        <f t="shared" si="100"/>
        <v>5555.9305999999997</v>
      </c>
      <c r="G101" s="22">
        <f t="shared" si="100"/>
        <v>5639.379359999999</v>
      </c>
      <c r="H101" s="22">
        <f t="shared" si="100"/>
        <v>5696.47588</v>
      </c>
      <c r="I101" s="22">
        <f t="shared" si="100"/>
        <v>5753.5723999999991</v>
      </c>
      <c r="J101" s="22">
        <f t="shared" si="100"/>
        <v>5810.6689200000001</v>
      </c>
      <c r="K101" s="22">
        <f t="shared" si="100"/>
        <v>5867.7654399999992</v>
      </c>
      <c r="L101" s="22">
        <f t="shared" si="100"/>
        <v>5924.8619600000002</v>
      </c>
      <c r="M101" s="22">
        <f t="shared" si="100"/>
        <v>5981.9584799999993</v>
      </c>
      <c r="N101" s="22">
        <f t="shared" si="100"/>
        <v>6039.0549999999994</v>
      </c>
      <c r="O101" s="22">
        <f t="shared" si="100"/>
        <v>6096.1515199999994</v>
      </c>
      <c r="P101" s="22">
        <f t="shared" si="100"/>
        <v>6153.2480399999995</v>
      </c>
      <c r="Q101" s="22">
        <f t="shared" si="100"/>
        <v>6201.5604800000001</v>
      </c>
      <c r="R101" s="22">
        <f t="shared" si="100"/>
        <v>6236.6967999999997</v>
      </c>
      <c r="S101" s="30">
        <f t="shared" si="100"/>
        <v>6271.8331200000002</v>
      </c>
      <c r="T101" s="30">
        <f t="shared" si="97"/>
        <v>5725.0241399999995</v>
      </c>
      <c r="U101" s="30">
        <f t="shared" si="98"/>
        <v>68700.289679999987</v>
      </c>
    </row>
    <row r="102" spans="1:21" x14ac:dyDescent="0.3">
      <c r="A102" s="34" t="s">
        <v>57</v>
      </c>
      <c r="B102" s="35">
        <f>SUM(B98*1.16)</f>
        <v>5094.7663999999995</v>
      </c>
      <c r="C102" s="24">
        <f>SUM(C79)</f>
        <v>5450.521639999999</v>
      </c>
      <c r="D102" s="24">
        <f t="shared" ref="D102:S102" si="101">SUM(D79)</f>
        <v>5542.7544799999996</v>
      </c>
      <c r="E102" s="24">
        <f t="shared" si="101"/>
        <v>5639.3793600000008</v>
      </c>
      <c r="F102" s="24">
        <f t="shared" si="101"/>
        <v>5731.6121999999996</v>
      </c>
      <c r="G102" s="24">
        <f t="shared" si="101"/>
        <v>5815.0609599999989</v>
      </c>
      <c r="H102" s="24">
        <f t="shared" si="101"/>
        <v>5872.1574799999999</v>
      </c>
      <c r="I102" s="24">
        <f t="shared" si="101"/>
        <v>5929.253999999999</v>
      </c>
      <c r="J102" s="24">
        <f t="shared" si="101"/>
        <v>5986.35052</v>
      </c>
      <c r="K102" s="24">
        <f t="shared" si="101"/>
        <v>6043.4470399999991</v>
      </c>
      <c r="L102" s="24">
        <f t="shared" si="101"/>
        <v>6100.5435600000001</v>
      </c>
      <c r="M102" s="24">
        <f t="shared" si="101"/>
        <v>6157.6400799999992</v>
      </c>
      <c r="N102" s="24">
        <f t="shared" si="101"/>
        <v>6214.7366000000002</v>
      </c>
      <c r="O102" s="24">
        <f t="shared" si="101"/>
        <v>6271.8331199999993</v>
      </c>
      <c r="P102" s="24">
        <f t="shared" si="101"/>
        <v>6328.9296400000003</v>
      </c>
      <c r="Q102" s="24">
        <f t="shared" si="101"/>
        <v>6377.24208</v>
      </c>
      <c r="R102" s="24">
        <f t="shared" si="101"/>
        <v>6412.3783999999996</v>
      </c>
      <c r="S102" s="31">
        <f t="shared" si="101"/>
        <v>6447.514720000001</v>
      </c>
      <c r="T102" s="31">
        <f t="shared" si="97"/>
        <v>5900.7057399999994</v>
      </c>
      <c r="U102" s="31">
        <f t="shared" si="98"/>
        <v>70808.46888</v>
      </c>
    </row>
    <row r="103" spans="1:21" x14ac:dyDescent="0.3"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</row>
    <row r="104" spans="1:21" ht="13.5" thickBot="1" x14ac:dyDescent="0.35">
      <c r="A104" s="6" t="s">
        <v>58</v>
      </c>
      <c r="B104" s="6"/>
      <c r="C104" s="36"/>
      <c r="D104" s="36"/>
      <c r="E104" s="36"/>
      <c r="F104" s="36"/>
      <c r="G104" s="36" t="str">
        <f>'[1]01082014 tarkentava ves'!G129</f>
        <v>kravnivå 12</v>
      </c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</row>
    <row r="105" spans="1:21" ht="34.5" customHeight="1" x14ac:dyDescent="0.3"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10" t="s">
        <v>10</v>
      </c>
      <c r="U105" s="11"/>
    </row>
    <row r="106" spans="1:21" ht="12.75" customHeight="1" x14ac:dyDescent="0.3">
      <c r="A106" s="49" t="s">
        <v>7</v>
      </c>
      <c r="B106" s="49" t="s">
        <v>8</v>
      </c>
      <c r="C106" s="55" t="str">
        <f>C5</f>
        <v>Suorituspisteet ja suoritustasot /</v>
      </c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7"/>
      <c r="T106" s="26"/>
      <c r="U106" s="27"/>
    </row>
    <row r="107" spans="1:21" ht="13.5" thickBot="1" x14ac:dyDescent="0.35">
      <c r="A107" s="50"/>
      <c r="B107" s="50"/>
      <c r="C107" s="12" t="s">
        <v>11</v>
      </c>
      <c r="D107" s="13" t="s">
        <v>12</v>
      </c>
      <c r="E107" s="12" t="s">
        <v>13</v>
      </c>
      <c r="F107" s="13" t="s">
        <v>14</v>
      </c>
      <c r="G107" s="12" t="s">
        <v>15</v>
      </c>
      <c r="H107" s="13" t="s">
        <v>16</v>
      </c>
      <c r="I107" s="12" t="s">
        <v>17</v>
      </c>
      <c r="J107" s="13" t="s">
        <v>18</v>
      </c>
      <c r="K107" s="12" t="s">
        <v>19</v>
      </c>
      <c r="L107" s="13" t="s">
        <v>20</v>
      </c>
      <c r="M107" s="12" t="s">
        <v>21</v>
      </c>
      <c r="N107" s="13" t="s">
        <v>22</v>
      </c>
      <c r="O107" s="12" t="s">
        <v>23</v>
      </c>
      <c r="P107" s="13" t="s">
        <v>24</v>
      </c>
      <c r="Q107" s="12" t="s">
        <v>25</v>
      </c>
      <c r="R107" s="13" t="s">
        <v>26</v>
      </c>
      <c r="S107" s="12" t="s">
        <v>27</v>
      </c>
      <c r="T107" s="14"/>
      <c r="U107" s="15"/>
    </row>
    <row r="108" spans="1:21" ht="26" x14ac:dyDescent="0.3">
      <c r="A108" s="51"/>
      <c r="B108" s="51"/>
      <c r="C108" s="16" t="s">
        <v>28</v>
      </c>
      <c r="D108" s="17" t="s">
        <v>29</v>
      </c>
      <c r="E108" s="16" t="s">
        <v>30</v>
      </c>
      <c r="F108" s="17" t="s">
        <v>31</v>
      </c>
      <c r="G108" s="16" t="s">
        <v>32</v>
      </c>
      <c r="H108" s="17" t="s">
        <v>33</v>
      </c>
      <c r="I108" s="16" t="s">
        <v>34</v>
      </c>
      <c r="J108" s="17" t="s">
        <v>35</v>
      </c>
      <c r="K108" s="16" t="s">
        <v>36</v>
      </c>
      <c r="L108" s="17" t="s">
        <v>37</v>
      </c>
      <c r="M108" s="16" t="s">
        <v>38</v>
      </c>
      <c r="N108" s="17" t="s">
        <v>39</v>
      </c>
      <c r="O108" s="16" t="s">
        <v>40</v>
      </c>
      <c r="P108" s="17" t="s">
        <v>41</v>
      </c>
      <c r="Q108" s="16" t="s">
        <v>42</v>
      </c>
      <c r="R108" s="17" t="s">
        <v>43</v>
      </c>
      <c r="S108" s="16" t="s">
        <v>44</v>
      </c>
      <c r="T108" s="28" t="s">
        <v>45</v>
      </c>
      <c r="U108" s="29" t="s">
        <v>46</v>
      </c>
    </row>
    <row r="109" spans="1:21" x14ac:dyDescent="0.3">
      <c r="A109" s="37" t="s">
        <v>53</v>
      </c>
      <c r="B109" s="38">
        <f>B10</f>
        <v>4673.22</v>
      </c>
      <c r="C109" s="22">
        <f t="shared" ref="C109:S109" si="102">SUM(C10)</f>
        <v>5051.7508200000002</v>
      </c>
      <c r="D109" s="22">
        <f t="shared" si="102"/>
        <v>5149.8884400000006</v>
      </c>
      <c r="E109" s="22">
        <f t="shared" si="102"/>
        <v>5252.6992800000007</v>
      </c>
      <c r="F109" s="22">
        <f t="shared" si="102"/>
        <v>5350.8369000000002</v>
      </c>
      <c r="G109" s="22">
        <f t="shared" si="102"/>
        <v>5439.6280799999995</v>
      </c>
      <c r="H109" s="22">
        <f t="shared" si="102"/>
        <v>5500.3799400000007</v>
      </c>
      <c r="I109" s="22">
        <f t="shared" si="102"/>
        <v>5561.1318000000001</v>
      </c>
      <c r="J109" s="22">
        <f t="shared" si="102"/>
        <v>5621.8836600000004</v>
      </c>
      <c r="K109" s="22">
        <f t="shared" si="102"/>
        <v>5682.6355199999998</v>
      </c>
      <c r="L109" s="22">
        <f t="shared" si="102"/>
        <v>5743.387380000001</v>
      </c>
      <c r="M109" s="22">
        <f t="shared" si="102"/>
        <v>5804.1392400000004</v>
      </c>
      <c r="N109" s="22">
        <f t="shared" si="102"/>
        <v>5864.8910999999998</v>
      </c>
      <c r="O109" s="22">
        <f t="shared" si="102"/>
        <v>5925.6429600000001</v>
      </c>
      <c r="P109" s="22">
        <f t="shared" si="102"/>
        <v>5986.3948199999995</v>
      </c>
      <c r="Q109" s="22">
        <f t="shared" si="102"/>
        <v>6037.8002400000005</v>
      </c>
      <c r="R109" s="22">
        <f t="shared" si="102"/>
        <v>6075.1860000000006</v>
      </c>
      <c r="S109" s="30">
        <f t="shared" si="102"/>
        <v>6112.5717600000007</v>
      </c>
      <c r="T109" s="30">
        <f>AVERAGE(G109:J109)</f>
        <v>5530.75587</v>
      </c>
      <c r="U109" s="30">
        <f>T109*12</f>
        <v>66369.070439999996</v>
      </c>
    </row>
    <row r="110" spans="1:21" x14ac:dyDescent="0.3">
      <c r="A110" s="39" t="s">
        <v>54</v>
      </c>
      <c r="B110" s="38">
        <f>SUM(B109*1.04)</f>
        <v>4860.1488000000008</v>
      </c>
      <c r="C110" s="22">
        <f t="shared" ref="C110:S110" si="103">SUM(C27)</f>
        <v>5238.6796199999999</v>
      </c>
      <c r="D110" s="22">
        <f t="shared" si="103"/>
        <v>5336.8172400000003</v>
      </c>
      <c r="E110" s="22">
        <f t="shared" si="103"/>
        <v>5439.6280800000004</v>
      </c>
      <c r="F110" s="22">
        <f t="shared" si="103"/>
        <v>5537.7656999999999</v>
      </c>
      <c r="G110" s="22">
        <f t="shared" si="103"/>
        <v>5626.5568799999992</v>
      </c>
      <c r="H110" s="22">
        <f t="shared" si="103"/>
        <v>5687.3087400000004</v>
      </c>
      <c r="I110" s="22">
        <f t="shared" si="103"/>
        <v>5748.0605999999998</v>
      </c>
      <c r="J110" s="22">
        <f t="shared" si="103"/>
        <v>5808.8124600000001</v>
      </c>
      <c r="K110" s="22">
        <f t="shared" si="103"/>
        <v>5869.5643199999995</v>
      </c>
      <c r="L110" s="22">
        <f t="shared" si="103"/>
        <v>5930.3161800000007</v>
      </c>
      <c r="M110" s="22">
        <f t="shared" si="103"/>
        <v>5991.0680400000001</v>
      </c>
      <c r="N110" s="22">
        <f t="shared" si="103"/>
        <v>6051.8198999999995</v>
      </c>
      <c r="O110" s="22">
        <f t="shared" si="103"/>
        <v>6112.5717599999998</v>
      </c>
      <c r="P110" s="22">
        <f t="shared" si="103"/>
        <v>6173.3236199999992</v>
      </c>
      <c r="Q110" s="22">
        <f t="shared" si="103"/>
        <v>6224.7290400000002</v>
      </c>
      <c r="R110" s="22">
        <f t="shared" si="103"/>
        <v>6262.1148000000003</v>
      </c>
      <c r="S110" s="30">
        <f t="shared" si="103"/>
        <v>6299.5005600000004</v>
      </c>
      <c r="T110" s="30">
        <f t="shared" ref="T110:T113" si="104">AVERAGE(G110:J110)</f>
        <v>5717.6846700000006</v>
      </c>
      <c r="U110" s="30">
        <f t="shared" ref="U110:U113" si="105">T110*12</f>
        <v>68612.216039999999</v>
      </c>
    </row>
    <row r="111" spans="1:21" x14ac:dyDescent="0.3">
      <c r="A111" s="39" t="s">
        <v>55</v>
      </c>
      <c r="B111" s="38">
        <f>SUM(B109*1.07)</f>
        <v>5000.3454000000002</v>
      </c>
      <c r="C111" s="22">
        <f t="shared" ref="C111:S111" si="106">SUM(C44)</f>
        <v>5378.8762200000001</v>
      </c>
      <c r="D111" s="22">
        <f t="shared" si="106"/>
        <v>5477.0138400000005</v>
      </c>
      <c r="E111" s="22">
        <f t="shared" si="106"/>
        <v>5579.8246800000006</v>
      </c>
      <c r="F111" s="22">
        <f t="shared" si="106"/>
        <v>5677.9623000000001</v>
      </c>
      <c r="G111" s="22">
        <f t="shared" si="106"/>
        <v>5766.7534799999994</v>
      </c>
      <c r="H111" s="22">
        <f t="shared" si="106"/>
        <v>5827.5053400000006</v>
      </c>
      <c r="I111" s="22">
        <f t="shared" si="106"/>
        <v>5888.2572</v>
      </c>
      <c r="J111" s="22">
        <f t="shared" si="106"/>
        <v>5949.0090600000003</v>
      </c>
      <c r="K111" s="22">
        <f t="shared" si="106"/>
        <v>6009.7609199999997</v>
      </c>
      <c r="L111" s="22">
        <f t="shared" si="106"/>
        <v>6070.5127800000009</v>
      </c>
      <c r="M111" s="22">
        <f t="shared" si="106"/>
        <v>6131.2646400000003</v>
      </c>
      <c r="N111" s="22">
        <f t="shared" si="106"/>
        <v>6192.0164999999997</v>
      </c>
      <c r="O111" s="22">
        <f t="shared" si="106"/>
        <v>6252.76836</v>
      </c>
      <c r="P111" s="22">
        <f t="shared" si="106"/>
        <v>6313.5202199999994</v>
      </c>
      <c r="Q111" s="22">
        <f t="shared" si="106"/>
        <v>6364.9256400000004</v>
      </c>
      <c r="R111" s="22">
        <f t="shared" si="106"/>
        <v>6402.3114000000005</v>
      </c>
      <c r="S111" s="30">
        <f t="shared" si="106"/>
        <v>6439.6971600000006</v>
      </c>
      <c r="T111" s="30">
        <f t="shared" si="104"/>
        <v>5857.8812699999999</v>
      </c>
      <c r="U111" s="30">
        <f t="shared" si="105"/>
        <v>70294.575240000006</v>
      </c>
    </row>
    <row r="112" spans="1:21" x14ac:dyDescent="0.3">
      <c r="A112" s="39" t="s">
        <v>56</v>
      </c>
      <c r="B112" s="38">
        <f>SUM(B109*1.12)</f>
        <v>5234.0064000000011</v>
      </c>
      <c r="C112" s="22">
        <f t="shared" ref="C112:S112" si="107">SUM(C62)</f>
        <v>5612.5372200000002</v>
      </c>
      <c r="D112" s="22">
        <f t="shared" si="107"/>
        <v>5710.6748400000006</v>
      </c>
      <c r="E112" s="22">
        <f t="shared" si="107"/>
        <v>5813.4856800000007</v>
      </c>
      <c r="F112" s="22">
        <f t="shared" si="107"/>
        <v>5911.6233000000002</v>
      </c>
      <c r="G112" s="22">
        <f t="shared" si="107"/>
        <v>6000.4144799999995</v>
      </c>
      <c r="H112" s="22">
        <f t="shared" si="107"/>
        <v>6061.1663400000007</v>
      </c>
      <c r="I112" s="22">
        <f t="shared" si="107"/>
        <v>6121.9182000000001</v>
      </c>
      <c r="J112" s="22">
        <f t="shared" si="107"/>
        <v>6182.6700600000004</v>
      </c>
      <c r="K112" s="22">
        <f t="shared" si="107"/>
        <v>6243.4219199999998</v>
      </c>
      <c r="L112" s="22">
        <f t="shared" si="107"/>
        <v>6304.173780000001</v>
      </c>
      <c r="M112" s="22">
        <f t="shared" si="107"/>
        <v>6364.9256400000004</v>
      </c>
      <c r="N112" s="22">
        <f t="shared" si="107"/>
        <v>6425.6774999999998</v>
      </c>
      <c r="O112" s="22">
        <f t="shared" si="107"/>
        <v>6486.4293600000001</v>
      </c>
      <c r="P112" s="22">
        <f t="shared" si="107"/>
        <v>6547.1812199999995</v>
      </c>
      <c r="Q112" s="22">
        <f t="shared" si="107"/>
        <v>6598.5866400000004</v>
      </c>
      <c r="R112" s="22">
        <f t="shared" si="107"/>
        <v>6635.9724000000006</v>
      </c>
      <c r="S112" s="30">
        <f t="shared" si="107"/>
        <v>6673.3581600000007</v>
      </c>
      <c r="T112" s="30">
        <f t="shared" si="104"/>
        <v>6091.5422699999999</v>
      </c>
      <c r="U112" s="30">
        <f t="shared" si="105"/>
        <v>73098.507240000006</v>
      </c>
    </row>
    <row r="113" spans="1:21" x14ac:dyDescent="0.3">
      <c r="A113" s="40" t="s">
        <v>57</v>
      </c>
      <c r="B113" s="41">
        <f>SUM(B109*1.16)</f>
        <v>5420.9351999999999</v>
      </c>
      <c r="C113" s="24">
        <f>SUM(C80)</f>
        <v>5799.4660199999998</v>
      </c>
      <c r="D113" s="24">
        <f t="shared" ref="D113:S113" si="108">SUM(D80)</f>
        <v>5897.6036400000012</v>
      </c>
      <c r="E113" s="24">
        <f t="shared" si="108"/>
        <v>6000.4144800000013</v>
      </c>
      <c r="F113" s="24">
        <f t="shared" si="108"/>
        <v>6098.5521000000008</v>
      </c>
      <c r="G113" s="24">
        <f t="shared" si="108"/>
        <v>6187.3432799999991</v>
      </c>
      <c r="H113" s="24">
        <f t="shared" si="108"/>
        <v>6248.0951400000013</v>
      </c>
      <c r="I113" s="24">
        <f t="shared" si="108"/>
        <v>6308.8469999999998</v>
      </c>
      <c r="J113" s="24">
        <f t="shared" si="108"/>
        <v>6369.5988600000001</v>
      </c>
      <c r="K113" s="24">
        <f t="shared" si="108"/>
        <v>6430.3507200000004</v>
      </c>
      <c r="L113" s="24">
        <f t="shared" si="108"/>
        <v>6491.1025800000007</v>
      </c>
      <c r="M113" s="24">
        <f t="shared" si="108"/>
        <v>6551.854440000001</v>
      </c>
      <c r="N113" s="24">
        <f t="shared" si="108"/>
        <v>6612.6062999999995</v>
      </c>
      <c r="O113" s="24">
        <f t="shared" si="108"/>
        <v>6673.3581599999998</v>
      </c>
      <c r="P113" s="24">
        <f t="shared" si="108"/>
        <v>6734.1100200000001</v>
      </c>
      <c r="Q113" s="24">
        <f t="shared" si="108"/>
        <v>6785.515440000001</v>
      </c>
      <c r="R113" s="24">
        <f t="shared" si="108"/>
        <v>6822.9012000000002</v>
      </c>
      <c r="S113" s="31">
        <f t="shared" si="108"/>
        <v>6860.2869600000013</v>
      </c>
      <c r="T113" s="31">
        <f t="shared" si="104"/>
        <v>6278.4710699999996</v>
      </c>
      <c r="U113" s="31">
        <f t="shared" si="105"/>
        <v>75341.652839999995</v>
      </c>
    </row>
    <row r="114" spans="1:21" x14ac:dyDescent="0.3"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</row>
    <row r="115" spans="1:21" ht="13.5" thickBot="1" x14ac:dyDescent="0.35">
      <c r="A115" s="6" t="s">
        <v>59</v>
      </c>
      <c r="B115" s="6"/>
      <c r="C115" s="36"/>
      <c r="D115" s="36"/>
      <c r="E115" s="36"/>
      <c r="F115" s="36"/>
      <c r="G115" s="36" t="str">
        <f>'[1]01082014 tarkentava ves'!G142</f>
        <v>kravnivå 13</v>
      </c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</row>
    <row r="116" spans="1:21" ht="39" customHeight="1" x14ac:dyDescent="0.3"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10" t="s">
        <v>10</v>
      </c>
      <c r="U116" s="11"/>
    </row>
    <row r="117" spans="1:21" ht="12.75" customHeight="1" x14ac:dyDescent="0.3">
      <c r="A117" s="49" t="s">
        <v>7</v>
      </c>
      <c r="B117" s="49" t="s">
        <v>8</v>
      </c>
      <c r="C117" s="55" t="str">
        <f>C5</f>
        <v>Suorituspisteet ja suoritustasot /</v>
      </c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7"/>
      <c r="T117" s="26"/>
      <c r="U117" s="27"/>
    </row>
    <row r="118" spans="1:21" ht="13.5" thickBot="1" x14ac:dyDescent="0.35">
      <c r="A118" s="50"/>
      <c r="B118" s="50"/>
      <c r="C118" s="12" t="s">
        <v>11</v>
      </c>
      <c r="D118" s="13" t="s">
        <v>12</v>
      </c>
      <c r="E118" s="12" t="s">
        <v>13</v>
      </c>
      <c r="F118" s="13" t="s">
        <v>14</v>
      </c>
      <c r="G118" s="12" t="s">
        <v>15</v>
      </c>
      <c r="H118" s="13" t="s">
        <v>16</v>
      </c>
      <c r="I118" s="12" t="s">
        <v>17</v>
      </c>
      <c r="J118" s="13" t="s">
        <v>18</v>
      </c>
      <c r="K118" s="12" t="s">
        <v>19</v>
      </c>
      <c r="L118" s="13" t="s">
        <v>20</v>
      </c>
      <c r="M118" s="12" t="s">
        <v>21</v>
      </c>
      <c r="N118" s="13" t="s">
        <v>22</v>
      </c>
      <c r="O118" s="12" t="s">
        <v>23</v>
      </c>
      <c r="P118" s="13" t="s">
        <v>24</v>
      </c>
      <c r="Q118" s="12" t="s">
        <v>25</v>
      </c>
      <c r="R118" s="13" t="s">
        <v>26</v>
      </c>
      <c r="S118" s="12" t="s">
        <v>27</v>
      </c>
      <c r="T118" s="14"/>
      <c r="U118" s="15"/>
    </row>
    <row r="119" spans="1:21" ht="26" x14ac:dyDescent="0.3">
      <c r="A119" s="51"/>
      <c r="B119" s="51"/>
      <c r="C119" s="16" t="s">
        <v>28</v>
      </c>
      <c r="D119" s="17" t="s">
        <v>29</v>
      </c>
      <c r="E119" s="16" t="s">
        <v>30</v>
      </c>
      <c r="F119" s="17" t="s">
        <v>31</v>
      </c>
      <c r="G119" s="16" t="s">
        <v>32</v>
      </c>
      <c r="H119" s="17" t="s">
        <v>33</v>
      </c>
      <c r="I119" s="16" t="s">
        <v>34</v>
      </c>
      <c r="J119" s="17" t="s">
        <v>35</v>
      </c>
      <c r="K119" s="16" t="s">
        <v>36</v>
      </c>
      <c r="L119" s="17" t="s">
        <v>37</v>
      </c>
      <c r="M119" s="16" t="s">
        <v>38</v>
      </c>
      <c r="N119" s="17" t="s">
        <v>39</v>
      </c>
      <c r="O119" s="16" t="s">
        <v>40</v>
      </c>
      <c r="P119" s="17" t="s">
        <v>41</v>
      </c>
      <c r="Q119" s="16" t="s">
        <v>42</v>
      </c>
      <c r="R119" s="17" t="s">
        <v>43</v>
      </c>
      <c r="S119" s="16" t="s">
        <v>44</v>
      </c>
      <c r="T119" s="28" t="s">
        <v>45</v>
      </c>
      <c r="U119" s="29" t="s">
        <v>46</v>
      </c>
    </row>
    <row r="120" spans="1:21" x14ac:dyDescent="0.3">
      <c r="A120" s="37" t="s">
        <v>53</v>
      </c>
      <c r="B120" s="38">
        <f>B11</f>
        <v>4909.04</v>
      </c>
      <c r="C120" s="22">
        <f t="shared" ref="C120:S120" si="109">SUM(C11)</f>
        <v>5306.6722399999999</v>
      </c>
      <c r="D120" s="22">
        <f t="shared" si="109"/>
        <v>5409.7620800000004</v>
      </c>
      <c r="E120" s="22">
        <f t="shared" si="109"/>
        <v>5517.7609600000005</v>
      </c>
      <c r="F120" s="22">
        <f t="shared" si="109"/>
        <v>5620.8508000000002</v>
      </c>
      <c r="G120" s="22">
        <f t="shared" si="109"/>
        <v>5714.1225599999998</v>
      </c>
      <c r="H120" s="22">
        <f t="shared" si="109"/>
        <v>5777.9400800000003</v>
      </c>
      <c r="I120" s="22">
        <f t="shared" si="109"/>
        <v>5841.7575999999999</v>
      </c>
      <c r="J120" s="22">
        <f t="shared" si="109"/>
        <v>5905.5751200000004</v>
      </c>
      <c r="K120" s="22">
        <f t="shared" si="109"/>
        <v>5969.39264</v>
      </c>
      <c r="L120" s="22">
        <f t="shared" si="109"/>
        <v>6033.2101600000005</v>
      </c>
      <c r="M120" s="22">
        <f t="shared" si="109"/>
        <v>6097.0276800000001</v>
      </c>
      <c r="N120" s="22">
        <f t="shared" si="109"/>
        <v>6160.8451999999997</v>
      </c>
      <c r="O120" s="22">
        <f t="shared" si="109"/>
        <v>6224.6627200000003</v>
      </c>
      <c r="P120" s="22">
        <f t="shared" si="109"/>
        <v>6288.4802399999999</v>
      </c>
      <c r="Q120" s="22">
        <f t="shared" si="109"/>
        <v>6342.4796800000004</v>
      </c>
      <c r="R120" s="22">
        <f t="shared" si="109"/>
        <v>6381.7520000000004</v>
      </c>
      <c r="S120" s="30">
        <f t="shared" si="109"/>
        <v>6421.0243200000004</v>
      </c>
      <c r="T120" s="30">
        <f>AVERAGE(G120:J120)</f>
        <v>5809.8488400000006</v>
      </c>
      <c r="U120" s="30">
        <f>T120*12</f>
        <v>69718.186080000014</v>
      </c>
    </row>
    <row r="121" spans="1:21" x14ac:dyDescent="0.3">
      <c r="A121" s="39" t="s">
        <v>54</v>
      </c>
      <c r="B121" s="38">
        <f>SUM(B120*1.04)</f>
        <v>5105.4016000000001</v>
      </c>
      <c r="C121" s="22">
        <f t="shared" ref="C121:S121" si="110">SUM(C28)</f>
        <v>5503.0338400000001</v>
      </c>
      <c r="D121" s="22">
        <f t="shared" si="110"/>
        <v>5606.1236800000006</v>
      </c>
      <c r="E121" s="22">
        <f t="shared" si="110"/>
        <v>5714.1225600000007</v>
      </c>
      <c r="F121" s="22">
        <f t="shared" si="110"/>
        <v>5817.2124000000003</v>
      </c>
      <c r="G121" s="22">
        <f t="shared" si="110"/>
        <v>5910.48416</v>
      </c>
      <c r="H121" s="22">
        <f t="shared" si="110"/>
        <v>5974.3016800000005</v>
      </c>
      <c r="I121" s="22">
        <f t="shared" si="110"/>
        <v>6038.1192000000001</v>
      </c>
      <c r="J121" s="22">
        <f t="shared" si="110"/>
        <v>6101.9367200000006</v>
      </c>
      <c r="K121" s="22">
        <f t="shared" si="110"/>
        <v>6165.7542400000002</v>
      </c>
      <c r="L121" s="22">
        <f t="shared" si="110"/>
        <v>6229.5717600000007</v>
      </c>
      <c r="M121" s="22">
        <f t="shared" si="110"/>
        <v>6293.3892800000003</v>
      </c>
      <c r="N121" s="22">
        <f t="shared" si="110"/>
        <v>6357.2067999999999</v>
      </c>
      <c r="O121" s="22">
        <f t="shared" si="110"/>
        <v>6421.0243200000004</v>
      </c>
      <c r="P121" s="22">
        <f t="shared" si="110"/>
        <v>6484.84184</v>
      </c>
      <c r="Q121" s="22">
        <f t="shared" si="110"/>
        <v>6538.8412800000006</v>
      </c>
      <c r="R121" s="22">
        <f t="shared" si="110"/>
        <v>6578.1136000000006</v>
      </c>
      <c r="S121" s="30">
        <f t="shared" si="110"/>
        <v>6617.3859200000006</v>
      </c>
      <c r="T121" s="30">
        <f t="shared" ref="T121:T124" si="111">AVERAGE(G121:J121)</f>
        <v>6006.2104400000007</v>
      </c>
      <c r="U121" s="30">
        <f t="shared" ref="U121:U124" si="112">T121*12</f>
        <v>72074.525280000002</v>
      </c>
    </row>
    <row r="122" spans="1:21" x14ac:dyDescent="0.3">
      <c r="A122" s="39" t="s">
        <v>55</v>
      </c>
      <c r="B122" s="38">
        <f>SUM(B120*1.07)</f>
        <v>5252.6728000000003</v>
      </c>
      <c r="C122" s="22">
        <f t="shared" ref="C122:S122" si="113">SUM(C45)</f>
        <v>5650.3050400000002</v>
      </c>
      <c r="D122" s="22">
        <f t="shared" si="113"/>
        <v>5753.3948800000007</v>
      </c>
      <c r="E122" s="22">
        <f t="shared" si="113"/>
        <v>5861.3937600000008</v>
      </c>
      <c r="F122" s="22">
        <f t="shared" si="113"/>
        <v>5964.4836000000005</v>
      </c>
      <c r="G122" s="22">
        <f t="shared" si="113"/>
        <v>6057.7553600000001</v>
      </c>
      <c r="H122" s="22">
        <f t="shared" si="113"/>
        <v>6121.5728800000006</v>
      </c>
      <c r="I122" s="22">
        <f t="shared" si="113"/>
        <v>6185.3904000000002</v>
      </c>
      <c r="J122" s="22">
        <f t="shared" si="113"/>
        <v>6249.2079200000007</v>
      </c>
      <c r="K122" s="22">
        <f t="shared" si="113"/>
        <v>6313.0254400000003</v>
      </c>
      <c r="L122" s="22">
        <f t="shared" si="113"/>
        <v>6376.8429600000009</v>
      </c>
      <c r="M122" s="22">
        <f t="shared" si="113"/>
        <v>6440.6604800000005</v>
      </c>
      <c r="N122" s="22">
        <f t="shared" si="113"/>
        <v>6504.4780000000001</v>
      </c>
      <c r="O122" s="22">
        <f t="shared" si="113"/>
        <v>6568.2955200000006</v>
      </c>
      <c r="P122" s="22">
        <f t="shared" si="113"/>
        <v>6632.1130400000002</v>
      </c>
      <c r="Q122" s="22">
        <f t="shared" si="113"/>
        <v>6686.1124800000007</v>
      </c>
      <c r="R122" s="22">
        <f t="shared" si="113"/>
        <v>6725.3848000000007</v>
      </c>
      <c r="S122" s="30">
        <f t="shared" si="113"/>
        <v>6764.6571200000008</v>
      </c>
      <c r="T122" s="30">
        <f t="shared" si="111"/>
        <v>6153.48164</v>
      </c>
      <c r="U122" s="30">
        <f t="shared" si="112"/>
        <v>73841.779680000007</v>
      </c>
    </row>
    <row r="123" spans="1:21" x14ac:dyDescent="0.3">
      <c r="A123" s="39" t="s">
        <v>56</v>
      </c>
      <c r="B123" s="38">
        <f>SUM(B120*1.12)</f>
        <v>5498.1248000000005</v>
      </c>
      <c r="C123" s="22">
        <f t="shared" ref="C123:S123" si="114">SUM(C63)</f>
        <v>5895.7570399999995</v>
      </c>
      <c r="D123" s="22">
        <f t="shared" si="114"/>
        <v>5998.8468800000001</v>
      </c>
      <c r="E123" s="22">
        <f t="shared" si="114"/>
        <v>6106.8457600000002</v>
      </c>
      <c r="F123" s="22">
        <f t="shared" si="114"/>
        <v>6209.9355999999998</v>
      </c>
      <c r="G123" s="22">
        <f t="shared" si="114"/>
        <v>6303.2073599999994</v>
      </c>
      <c r="H123" s="22">
        <f t="shared" si="114"/>
        <v>6367.0248799999999</v>
      </c>
      <c r="I123" s="22">
        <f t="shared" si="114"/>
        <v>6430.8423999999995</v>
      </c>
      <c r="J123" s="22">
        <f t="shared" si="114"/>
        <v>6494.6599200000001</v>
      </c>
      <c r="K123" s="22">
        <f t="shared" si="114"/>
        <v>6558.4774399999997</v>
      </c>
      <c r="L123" s="22">
        <f t="shared" si="114"/>
        <v>6622.2949600000002</v>
      </c>
      <c r="M123" s="22">
        <f t="shared" si="114"/>
        <v>6686.1124799999998</v>
      </c>
      <c r="N123" s="22">
        <f t="shared" si="114"/>
        <v>6749.9299999999994</v>
      </c>
      <c r="O123" s="22">
        <f t="shared" si="114"/>
        <v>6813.7475199999999</v>
      </c>
      <c r="P123" s="22">
        <f t="shared" si="114"/>
        <v>6877.5650399999995</v>
      </c>
      <c r="Q123" s="22">
        <f t="shared" si="114"/>
        <v>6931.56448</v>
      </c>
      <c r="R123" s="22">
        <f t="shared" si="114"/>
        <v>6970.8368</v>
      </c>
      <c r="S123" s="30">
        <f t="shared" si="114"/>
        <v>7010.1091200000001</v>
      </c>
      <c r="T123" s="30">
        <f t="shared" si="111"/>
        <v>6398.9336399999993</v>
      </c>
      <c r="U123" s="30">
        <f t="shared" si="112"/>
        <v>76787.203679999991</v>
      </c>
    </row>
    <row r="124" spans="1:21" x14ac:dyDescent="0.3">
      <c r="A124" s="40" t="s">
        <v>57</v>
      </c>
      <c r="B124" s="41">
        <f>SUM(B120*1.16)</f>
        <v>5694.4863999999998</v>
      </c>
      <c r="C124" s="24">
        <f>SUM(C81)</f>
        <v>6092.1186399999997</v>
      </c>
      <c r="D124" s="24">
        <f>SUM(D81)</f>
        <v>6195.2084800000002</v>
      </c>
      <c r="E124" s="24">
        <f t="shared" ref="E124:S124" si="115">SUM(E81)</f>
        <v>6303.2073600000003</v>
      </c>
      <c r="F124" s="24">
        <f t="shared" si="115"/>
        <v>6406.2972</v>
      </c>
      <c r="G124" s="24">
        <f t="shared" si="115"/>
        <v>6499.5689599999996</v>
      </c>
      <c r="H124" s="24">
        <f t="shared" si="115"/>
        <v>6563.3864800000001</v>
      </c>
      <c r="I124" s="24">
        <f t="shared" si="115"/>
        <v>6627.2039999999997</v>
      </c>
      <c r="J124" s="24">
        <f t="shared" si="115"/>
        <v>6691.0215200000002</v>
      </c>
      <c r="K124" s="24">
        <f t="shared" si="115"/>
        <v>6754.8390399999998</v>
      </c>
      <c r="L124" s="24">
        <f t="shared" si="115"/>
        <v>6818.6565600000004</v>
      </c>
      <c r="M124" s="24">
        <f t="shared" si="115"/>
        <v>6882.47408</v>
      </c>
      <c r="N124" s="24">
        <f t="shared" si="115"/>
        <v>6946.2915999999996</v>
      </c>
      <c r="O124" s="24">
        <f t="shared" si="115"/>
        <v>7010.1091200000001</v>
      </c>
      <c r="P124" s="24">
        <f t="shared" si="115"/>
        <v>7073.9266399999997</v>
      </c>
      <c r="Q124" s="24">
        <f t="shared" si="115"/>
        <v>7127.9260800000002</v>
      </c>
      <c r="R124" s="24">
        <f t="shared" si="115"/>
        <v>7167.1984000000002</v>
      </c>
      <c r="S124" s="31">
        <f t="shared" si="115"/>
        <v>7206.4707200000003</v>
      </c>
      <c r="T124" s="31">
        <f t="shared" si="111"/>
        <v>6595.2952399999995</v>
      </c>
      <c r="U124" s="31">
        <f t="shared" si="112"/>
        <v>79143.542879999994</v>
      </c>
    </row>
    <row r="125" spans="1:21" x14ac:dyDescent="0.3">
      <c r="B125" s="8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</row>
    <row r="126" spans="1:21" ht="13.5" thickBot="1" x14ac:dyDescent="0.35">
      <c r="A126" s="6" t="s">
        <v>60</v>
      </c>
      <c r="B126" s="6"/>
      <c r="C126" s="36"/>
      <c r="D126" s="36"/>
      <c r="E126" s="36"/>
      <c r="F126" s="36"/>
      <c r="G126" s="36" t="s">
        <v>61</v>
      </c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</row>
    <row r="127" spans="1:21" ht="27" customHeight="1" x14ac:dyDescent="0.3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10" t="s">
        <v>10</v>
      </c>
      <c r="U127" s="11"/>
    </row>
    <row r="128" spans="1:21" ht="12.75" customHeight="1" x14ac:dyDescent="0.3">
      <c r="A128" s="49" t="s">
        <v>7</v>
      </c>
      <c r="B128" s="49" t="s">
        <v>8</v>
      </c>
      <c r="C128" s="55">
        <f>C18</f>
        <v>7181.2127199999995</v>
      </c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7"/>
      <c r="T128" s="26"/>
      <c r="U128" s="27"/>
    </row>
    <row r="129" spans="1:21" ht="13.5" thickBot="1" x14ac:dyDescent="0.35">
      <c r="A129" s="50"/>
      <c r="B129" s="50"/>
      <c r="C129" s="12" t="s">
        <v>11</v>
      </c>
      <c r="D129" s="13" t="s">
        <v>12</v>
      </c>
      <c r="E129" s="12" t="s">
        <v>13</v>
      </c>
      <c r="F129" s="13" t="s">
        <v>14</v>
      </c>
      <c r="G129" s="12" t="s">
        <v>15</v>
      </c>
      <c r="H129" s="13" t="s">
        <v>16</v>
      </c>
      <c r="I129" s="12" t="s">
        <v>17</v>
      </c>
      <c r="J129" s="13" t="s">
        <v>18</v>
      </c>
      <c r="K129" s="12" t="s">
        <v>19</v>
      </c>
      <c r="L129" s="13" t="s">
        <v>20</v>
      </c>
      <c r="M129" s="12" t="s">
        <v>21</v>
      </c>
      <c r="N129" s="13" t="s">
        <v>22</v>
      </c>
      <c r="O129" s="12" t="s">
        <v>23</v>
      </c>
      <c r="P129" s="13" t="s">
        <v>24</v>
      </c>
      <c r="Q129" s="12" t="s">
        <v>25</v>
      </c>
      <c r="R129" s="13" t="s">
        <v>26</v>
      </c>
      <c r="S129" s="12" t="s">
        <v>27</v>
      </c>
      <c r="T129" s="14"/>
      <c r="U129" s="15"/>
    </row>
    <row r="130" spans="1:21" ht="26" x14ac:dyDescent="0.3">
      <c r="A130" s="51"/>
      <c r="B130" s="51"/>
      <c r="C130" s="16" t="s">
        <v>28</v>
      </c>
      <c r="D130" s="17" t="s">
        <v>29</v>
      </c>
      <c r="E130" s="16" t="s">
        <v>30</v>
      </c>
      <c r="F130" s="17" t="s">
        <v>31</v>
      </c>
      <c r="G130" s="16" t="s">
        <v>32</v>
      </c>
      <c r="H130" s="17" t="s">
        <v>33</v>
      </c>
      <c r="I130" s="16" t="s">
        <v>34</v>
      </c>
      <c r="J130" s="17" t="s">
        <v>35</v>
      </c>
      <c r="K130" s="16" t="s">
        <v>36</v>
      </c>
      <c r="L130" s="17" t="s">
        <v>37</v>
      </c>
      <c r="M130" s="16" t="s">
        <v>38</v>
      </c>
      <c r="N130" s="17" t="s">
        <v>39</v>
      </c>
      <c r="O130" s="16" t="s">
        <v>40</v>
      </c>
      <c r="P130" s="17" t="s">
        <v>41</v>
      </c>
      <c r="Q130" s="16" t="s">
        <v>42</v>
      </c>
      <c r="R130" s="17" t="s">
        <v>43</v>
      </c>
      <c r="S130" s="16" t="s">
        <v>44</v>
      </c>
      <c r="T130" s="28" t="s">
        <v>45</v>
      </c>
      <c r="U130" s="29" t="s">
        <v>46</v>
      </c>
    </row>
    <row r="131" spans="1:21" x14ac:dyDescent="0.3">
      <c r="A131" s="37" t="s">
        <v>53</v>
      </c>
      <c r="B131" s="38">
        <f>B12</f>
        <v>5100.88</v>
      </c>
      <c r="C131" s="22">
        <f t="shared" ref="C131:S131" si="116">SUM(C12)</f>
        <v>5514.0512799999997</v>
      </c>
      <c r="D131" s="22">
        <f t="shared" si="116"/>
        <v>5621.1697600000007</v>
      </c>
      <c r="E131" s="22">
        <f t="shared" si="116"/>
        <v>5733.3891200000007</v>
      </c>
      <c r="F131" s="22">
        <f t="shared" si="116"/>
        <v>5840.5075999999999</v>
      </c>
      <c r="G131" s="22">
        <f t="shared" si="116"/>
        <v>5937.4243200000001</v>
      </c>
      <c r="H131" s="22">
        <f t="shared" si="116"/>
        <v>6003.7357600000005</v>
      </c>
      <c r="I131" s="22">
        <f t="shared" si="116"/>
        <v>6070.0472</v>
      </c>
      <c r="J131" s="22">
        <f t="shared" si="116"/>
        <v>6136.3586400000004</v>
      </c>
      <c r="K131" s="22">
        <f t="shared" si="116"/>
        <v>6202.6700799999999</v>
      </c>
      <c r="L131" s="22">
        <f t="shared" si="116"/>
        <v>6268.9815200000003</v>
      </c>
      <c r="M131" s="22">
        <f t="shared" si="116"/>
        <v>6335.2929599999998</v>
      </c>
      <c r="N131" s="22">
        <f t="shared" si="116"/>
        <v>6401.6043999999993</v>
      </c>
      <c r="O131" s="22">
        <f t="shared" si="116"/>
        <v>6467.9158400000006</v>
      </c>
      <c r="P131" s="22">
        <f t="shared" si="116"/>
        <v>6534.2272800000001</v>
      </c>
      <c r="Q131" s="22">
        <f t="shared" si="116"/>
        <v>6590.3369600000005</v>
      </c>
      <c r="R131" s="22">
        <f t="shared" si="116"/>
        <v>6631.1440000000002</v>
      </c>
      <c r="S131" s="30">
        <f t="shared" si="116"/>
        <v>6671.9510400000008</v>
      </c>
      <c r="T131" s="30">
        <f>AVERAGE(G131:J131)</f>
        <v>6036.8914800000002</v>
      </c>
      <c r="U131" s="30">
        <f>T131*12</f>
        <v>72442.69776000001</v>
      </c>
    </row>
    <row r="132" spans="1:21" x14ac:dyDescent="0.3">
      <c r="A132" s="39" t="s">
        <v>54</v>
      </c>
      <c r="B132" s="38">
        <f>SUM(B131*1.04)</f>
        <v>5304.9152000000004</v>
      </c>
      <c r="C132" s="22">
        <f t="shared" ref="C132:S132" si="117">SUM(C29)</f>
        <v>5718.0864799999999</v>
      </c>
      <c r="D132" s="22">
        <f t="shared" si="117"/>
        <v>5825.2049600000009</v>
      </c>
      <c r="E132" s="22">
        <f t="shared" si="117"/>
        <v>5937.424320000001</v>
      </c>
      <c r="F132" s="22">
        <f t="shared" si="117"/>
        <v>6044.5428000000002</v>
      </c>
      <c r="G132" s="22">
        <f t="shared" si="117"/>
        <v>6141.4595200000003</v>
      </c>
      <c r="H132" s="22">
        <f t="shared" si="117"/>
        <v>6207.7709600000007</v>
      </c>
      <c r="I132" s="22">
        <f t="shared" si="117"/>
        <v>6274.0824000000002</v>
      </c>
      <c r="J132" s="22">
        <f t="shared" si="117"/>
        <v>6340.3938400000006</v>
      </c>
      <c r="K132" s="22">
        <f t="shared" si="117"/>
        <v>6406.7052800000001</v>
      </c>
      <c r="L132" s="22">
        <f t="shared" si="117"/>
        <v>6473.0167200000005</v>
      </c>
      <c r="M132" s="22">
        <f t="shared" si="117"/>
        <v>6539.32816</v>
      </c>
      <c r="N132" s="22">
        <f t="shared" si="117"/>
        <v>6605.6395999999995</v>
      </c>
      <c r="O132" s="22">
        <f t="shared" si="117"/>
        <v>6671.9510400000008</v>
      </c>
      <c r="P132" s="22">
        <f t="shared" si="117"/>
        <v>6738.2624800000003</v>
      </c>
      <c r="Q132" s="22">
        <f t="shared" si="117"/>
        <v>6794.3721600000008</v>
      </c>
      <c r="R132" s="22">
        <f t="shared" si="117"/>
        <v>6835.1792000000005</v>
      </c>
      <c r="S132" s="30">
        <f t="shared" si="117"/>
        <v>6875.9862400000011</v>
      </c>
      <c r="T132" s="30">
        <f t="shared" ref="T132:T135" si="118">AVERAGE(G132:J132)</f>
        <v>6240.9266800000005</v>
      </c>
      <c r="U132" s="30">
        <f t="shared" ref="U132:U135" si="119">T132*12</f>
        <v>74891.120160000006</v>
      </c>
    </row>
    <row r="133" spans="1:21" x14ac:dyDescent="0.3">
      <c r="A133" s="39" t="s">
        <v>55</v>
      </c>
      <c r="B133" s="38">
        <f>SUM(B131*1.07)</f>
        <v>5457.9416000000001</v>
      </c>
      <c r="C133" s="22">
        <f t="shared" ref="C133:S133" si="120">SUM(C46)</f>
        <v>5871.1128799999997</v>
      </c>
      <c r="D133" s="22">
        <f t="shared" si="120"/>
        <v>5978.2313600000007</v>
      </c>
      <c r="E133" s="22">
        <f t="shared" si="120"/>
        <v>6090.4507200000007</v>
      </c>
      <c r="F133" s="22">
        <f t="shared" si="120"/>
        <v>6197.5691999999999</v>
      </c>
      <c r="G133" s="22">
        <f t="shared" si="120"/>
        <v>6294.4859200000001</v>
      </c>
      <c r="H133" s="22">
        <f t="shared" si="120"/>
        <v>6360.7973600000005</v>
      </c>
      <c r="I133" s="22">
        <f t="shared" si="120"/>
        <v>6427.1088</v>
      </c>
      <c r="J133" s="22">
        <f t="shared" si="120"/>
        <v>6493.4202400000004</v>
      </c>
      <c r="K133" s="22">
        <f t="shared" si="120"/>
        <v>6559.7316799999999</v>
      </c>
      <c r="L133" s="22">
        <f t="shared" si="120"/>
        <v>6626.0431200000003</v>
      </c>
      <c r="M133" s="22">
        <f t="shared" si="120"/>
        <v>6692.3545599999998</v>
      </c>
      <c r="N133" s="22">
        <f t="shared" si="120"/>
        <v>6758.6659999999993</v>
      </c>
      <c r="O133" s="22">
        <f t="shared" si="120"/>
        <v>6824.9774400000006</v>
      </c>
      <c r="P133" s="22">
        <f t="shared" si="120"/>
        <v>6891.2888800000001</v>
      </c>
      <c r="Q133" s="22">
        <f t="shared" si="120"/>
        <v>6947.3985600000005</v>
      </c>
      <c r="R133" s="22">
        <f t="shared" si="120"/>
        <v>6988.2056000000002</v>
      </c>
      <c r="S133" s="30">
        <f t="shared" si="120"/>
        <v>7029.0126400000008</v>
      </c>
      <c r="T133" s="30">
        <f t="shared" si="118"/>
        <v>6393.9530799999993</v>
      </c>
      <c r="U133" s="30">
        <f t="shared" si="119"/>
        <v>76727.436959999992</v>
      </c>
    </row>
    <row r="134" spans="1:21" x14ac:dyDescent="0.3">
      <c r="A134" s="39" t="s">
        <v>56</v>
      </c>
      <c r="B134" s="38">
        <f>SUM(B131*1.12)</f>
        <v>5712.9856000000009</v>
      </c>
      <c r="C134" s="22">
        <f t="shared" ref="C134:S134" si="121">SUM(C64)</f>
        <v>6126.1568799999995</v>
      </c>
      <c r="D134" s="22">
        <f t="shared" si="121"/>
        <v>6233.2753600000005</v>
      </c>
      <c r="E134" s="22">
        <f t="shared" si="121"/>
        <v>6345.4947200000006</v>
      </c>
      <c r="F134" s="22">
        <f t="shared" si="121"/>
        <v>6452.6131999999998</v>
      </c>
      <c r="G134" s="22">
        <f t="shared" si="121"/>
        <v>6549.5299199999999</v>
      </c>
      <c r="H134" s="22">
        <f t="shared" si="121"/>
        <v>6615.8413600000003</v>
      </c>
      <c r="I134" s="22">
        <f t="shared" si="121"/>
        <v>6682.1527999999998</v>
      </c>
      <c r="J134" s="22">
        <f t="shared" si="121"/>
        <v>6748.4642400000002</v>
      </c>
      <c r="K134" s="22">
        <f t="shared" si="121"/>
        <v>6814.7756799999997</v>
      </c>
      <c r="L134" s="22">
        <f t="shared" si="121"/>
        <v>6881.0871200000001</v>
      </c>
      <c r="M134" s="22">
        <f t="shared" si="121"/>
        <v>6947.3985599999996</v>
      </c>
      <c r="N134" s="22">
        <f t="shared" si="121"/>
        <v>7013.7099999999991</v>
      </c>
      <c r="O134" s="22">
        <f t="shared" si="121"/>
        <v>7080.0214400000004</v>
      </c>
      <c r="P134" s="22">
        <f t="shared" si="121"/>
        <v>7146.3328799999999</v>
      </c>
      <c r="Q134" s="22">
        <f t="shared" si="121"/>
        <v>7202.4425600000004</v>
      </c>
      <c r="R134" s="22">
        <f t="shared" si="121"/>
        <v>7243.2496000000001</v>
      </c>
      <c r="S134" s="30">
        <f t="shared" si="121"/>
        <v>7284.0566400000007</v>
      </c>
      <c r="T134" s="30">
        <f t="shared" si="118"/>
        <v>6648.9970800000001</v>
      </c>
      <c r="U134" s="30">
        <f t="shared" si="119"/>
        <v>79787.964959999998</v>
      </c>
    </row>
    <row r="135" spans="1:21" x14ac:dyDescent="0.3">
      <c r="A135" s="40" t="s">
        <v>57</v>
      </c>
      <c r="B135" s="41">
        <f>SUM(B131*1.16)</f>
        <v>5917.0207999999993</v>
      </c>
      <c r="C135" s="24">
        <f>SUM(C82)</f>
        <v>6330.1920799999998</v>
      </c>
      <c r="D135" s="24">
        <f t="shared" ref="D135:S135" si="122">SUM(D82)</f>
        <v>6437.3105600000008</v>
      </c>
      <c r="E135" s="24">
        <f t="shared" si="122"/>
        <v>6549.5299200000009</v>
      </c>
      <c r="F135" s="24">
        <f t="shared" si="122"/>
        <v>6656.6484</v>
      </c>
      <c r="G135" s="24">
        <f t="shared" si="122"/>
        <v>6753.5651200000002</v>
      </c>
      <c r="H135" s="24">
        <f t="shared" si="122"/>
        <v>6819.8765600000006</v>
      </c>
      <c r="I135" s="24">
        <f t="shared" si="122"/>
        <v>6886.1880000000001</v>
      </c>
      <c r="J135" s="24">
        <f t="shared" si="122"/>
        <v>6952.4994400000005</v>
      </c>
      <c r="K135" s="24">
        <f t="shared" si="122"/>
        <v>7018.81088</v>
      </c>
      <c r="L135" s="24">
        <f t="shared" si="122"/>
        <v>7085.1223200000004</v>
      </c>
      <c r="M135" s="24">
        <f t="shared" si="122"/>
        <v>7151.4337599999999</v>
      </c>
      <c r="N135" s="24">
        <f t="shared" si="122"/>
        <v>7217.7451999999994</v>
      </c>
      <c r="O135" s="24">
        <f t="shared" si="122"/>
        <v>7284.0566400000007</v>
      </c>
      <c r="P135" s="24">
        <f t="shared" si="122"/>
        <v>7350.3680800000002</v>
      </c>
      <c r="Q135" s="24">
        <f t="shared" si="122"/>
        <v>7406.4777600000007</v>
      </c>
      <c r="R135" s="24">
        <f t="shared" si="122"/>
        <v>7447.2848000000004</v>
      </c>
      <c r="S135" s="31">
        <f t="shared" si="122"/>
        <v>7488.091840000001</v>
      </c>
      <c r="T135" s="31">
        <f t="shared" si="118"/>
        <v>6853.0322799999994</v>
      </c>
      <c r="U135" s="31">
        <f t="shared" si="119"/>
        <v>82236.387359999993</v>
      </c>
    </row>
    <row r="136" spans="1:21" x14ac:dyDescent="0.3">
      <c r="B136" s="8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</row>
    <row r="137" spans="1:21" ht="13.5" thickBot="1" x14ac:dyDescent="0.35">
      <c r="A137" s="6" t="s">
        <v>62</v>
      </c>
      <c r="B137" s="6"/>
      <c r="C137" s="36"/>
      <c r="D137" s="36"/>
      <c r="E137" s="36"/>
      <c r="F137" s="36"/>
      <c r="G137" s="36" t="str">
        <f>'[1]01082014 tarkentava ves'!G155</f>
        <v>kravnivå 16</v>
      </c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</row>
    <row r="138" spans="1:21" ht="26.5" customHeight="1" x14ac:dyDescent="0.3"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10" t="s">
        <v>10</v>
      </c>
      <c r="U138" s="11"/>
    </row>
    <row r="139" spans="1:21" ht="12.75" customHeight="1" x14ac:dyDescent="0.3">
      <c r="A139" s="49" t="s">
        <v>7</v>
      </c>
      <c r="B139" s="49" t="s">
        <v>8</v>
      </c>
      <c r="C139" s="55" t="str">
        <f>C5</f>
        <v>Suorituspisteet ja suoritustasot /</v>
      </c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7"/>
      <c r="T139" s="26"/>
      <c r="U139" s="27"/>
    </row>
    <row r="140" spans="1:21" ht="13.5" thickBot="1" x14ac:dyDescent="0.35">
      <c r="A140" s="50"/>
      <c r="B140" s="50"/>
      <c r="C140" s="12" t="s">
        <v>11</v>
      </c>
      <c r="D140" s="13" t="s">
        <v>12</v>
      </c>
      <c r="E140" s="12" t="s">
        <v>13</v>
      </c>
      <c r="F140" s="13" t="s">
        <v>14</v>
      </c>
      <c r="G140" s="12" t="s">
        <v>15</v>
      </c>
      <c r="H140" s="13" t="s">
        <v>16</v>
      </c>
      <c r="I140" s="12" t="s">
        <v>17</v>
      </c>
      <c r="J140" s="13" t="s">
        <v>18</v>
      </c>
      <c r="K140" s="12" t="s">
        <v>19</v>
      </c>
      <c r="L140" s="13" t="s">
        <v>20</v>
      </c>
      <c r="M140" s="12" t="s">
        <v>21</v>
      </c>
      <c r="N140" s="13" t="s">
        <v>22</v>
      </c>
      <c r="O140" s="12" t="s">
        <v>23</v>
      </c>
      <c r="P140" s="13" t="s">
        <v>24</v>
      </c>
      <c r="Q140" s="12" t="s">
        <v>25</v>
      </c>
      <c r="R140" s="13" t="s">
        <v>26</v>
      </c>
      <c r="S140" s="12" t="s">
        <v>27</v>
      </c>
      <c r="T140" s="14"/>
      <c r="U140" s="15"/>
    </row>
    <row r="141" spans="1:21" ht="26" x14ac:dyDescent="0.3">
      <c r="A141" s="51"/>
      <c r="B141" s="51"/>
      <c r="C141" s="16" t="s">
        <v>28</v>
      </c>
      <c r="D141" s="17" t="s">
        <v>29</v>
      </c>
      <c r="E141" s="16" t="s">
        <v>30</v>
      </c>
      <c r="F141" s="17" t="s">
        <v>31</v>
      </c>
      <c r="G141" s="16" t="s">
        <v>32</v>
      </c>
      <c r="H141" s="17" t="s">
        <v>33</v>
      </c>
      <c r="I141" s="16" t="s">
        <v>34</v>
      </c>
      <c r="J141" s="17" t="s">
        <v>35</v>
      </c>
      <c r="K141" s="16" t="s">
        <v>36</v>
      </c>
      <c r="L141" s="17" t="s">
        <v>37</v>
      </c>
      <c r="M141" s="16" t="s">
        <v>38</v>
      </c>
      <c r="N141" s="17" t="s">
        <v>39</v>
      </c>
      <c r="O141" s="16" t="s">
        <v>40</v>
      </c>
      <c r="P141" s="17" t="s">
        <v>41</v>
      </c>
      <c r="Q141" s="16" t="s">
        <v>42</v>
      </c>
      <c r="R141" s="17" t="s">
        <v>43</v>
      </c>
      <c r="S141" s="16" t="s">
        <v>44</v>
      </c>
      <c r="T141" s="28" t="s">
        <v>45</v>
      </c>
      <c r="U141" s="29" t="s">
        <v>46</v>
      </c>
    </row>
    <row r="142" spans="1:21" x14ac:dyDescent="0.3">
      <c r="A142" s="37" t="s">
        <v>53</v>
      </c>
      <c r="B142" s="33">
        <f>B14</f>
        <v>5446.55</v>
      </c>
      <c r="C142" s="42">
        <f t="shared" ref="C142:S142" si="123">SUM(C14)</f>
        <v>5887.72055</v>
      </c>
      <c r="D142" s="42">
        <f t="shared" si="123"/>
        <v>6002.0981000000011</v>
      </c>
      <c r="E142" s="42">
        <f t="shared" si="123"/>
        <v>6121.9222000000009</v>
      </c>
      <c r="F142" s="42">
        <f t="shared" si="123"/>
        <v>6236.2997500000001</v>
      </c>
      <c r="G142" s="42">
        <f t="shared" si="123"/>
        <v>6339.7842000000001</v>
      </c>
      <c r="H142" s="42">
        <f t="shared" si="123"/>
        <v>6410.5893500000002</v>
      </c>
      <c r="I142" s="42">
        <f t="shared" si="123"/>
        <v>6481.3945000000003</v>
      </c>
      <c r="J142" s="42">
        <f t="shared" si="123"/>
        <v>6552.1996500000005</v>
      </c>
      <c r="K142" s="42">
        <f t="shared" si="123"/>
        <v>6623.0047999999997</v>
      </c>
      <c r="L142" s="42">
        <f t="shared" si="123"/>
        <v>6693.8099500000008</v>
      </c>
      <c r="M142" s="42">
        <f t="shared" si="123"/>
        <v>6764.6151</v>
      </c>
      <c r="N142" s="42">
        <f t="shared" si="123"/>
        <v>6835.4202499999992</v>
      </c>
      <c r="O142" s="42">
        <f t="shared" si="123"/>
        <v>6906.2254000000003</v>
      </c>
      <c r="P142" s="42">
        <f t="shared" si="123"/>
        <v>6977.0305499999995</v>
      </c>
      <c r="Q142" s="42">
        <f t="shared" si="123"/>
        <v>7036.9426000000003</v>
      </c>
      <c r="R142" s="42">
        <f t="shared" si="123"/>
        <v>7080.5150000000003</v>
      </c>
      <c r="S142" s="43">
        <f t="shared" si="123"/>
        <v>7124.0874000000003</v>
      </c>
      <c r="T142" s="30">
        <f>AVERAGE(G142:J142)</f>
        <v>6445.9919250000003</v>
      </c>
      <c r="U142" s="30">
        <f>T142*12</f>
        <v>77351.903099999996</v>
      </c>
    </row>
    <row r="143" spans="1:21" x14ac:dyDescent="0.3">
      <c r="A143" s="39" t="s">
        <v>54</v>
      </c>
      <c r="B143" s="33">
        <f>SUM(B142*1.04)</f>
        <v>5664.4120000000003</v>
      </c>
      <c r="C143" s="42">
        <f t="shared" ref="C143:S143" si="124">SUM(C31)</f>
        <v>6105.5825500000001</v>
      </c>
      <c r="D143" s="42">
        <f t="shared" si="124"/>
        <v>6219.9601000000011</v>
      </c>
      <c r="E143" s="42">
        <f t="shared" si="124"/>
        <v>6339.784200000001</v>
      </c>
      <c r="F143" s="42">
        <f t="shared" si="124"/>
        <v>6454.1617500000002</v>
      </c>
      <c r="G143" s="42">
        <f t="shared" si="124"/>
        <v>6557.6462000000001</v>
      </c>
      <c r="H143" s="42">
        <f t="shared" si="124"/>
        <v>6628.4513500000003</v>
      </c>
      <c r="I143" s="42">
        <f t="shared" si="124"/>
        <v>6699.2565000000004</v>
      </c>
      <c r="J143" s="42">
        <f t="shared" si="124"/>
        <v>6770.0616500000006</v>
      </c>
      <c r="K143" s="42">
        <f t="shared" si="124"/>
        <v>6840.8667999999998</v>
      </c>
      <c r="L143" s="42">
        <f t="shared" si="124"/>
        <v>6911.6719500000008</v>
      </c>
      <c r="M143" s="42">
        <f t="shared" si="124"/>
        <v>6982.4771000000001</v>
      </c>
      <c r="N143" s="42">
        <f t="shared" si="124"/>
        <v>7053.2822499999993</v>
      </c>
      <c r="O143" s="42">
        <f t="shared" si="124"/>
        <v>7124.0874000000003</v>
      </c>
      <c r="P143" s="42">
        <f t="shared" si="124"/>
        <v>7194.8925499999996</v>
      </c>
      <c r="Q143" s="42">
        <f t="shared" si="124"/>
        <v>7254.8046000000004</v>
      </c>
      <c r="R143" s="42">
        <f t="shared" si="124"/>
        <v>7298.3770000000004</v>
      </c>
      <c r="S143" s="43">
        <f t="shared" si="124"/>
        <v>7341.9494000000004</v>
      </c>
      <c r="T143" s="30">
        <f t="shared" ref="T143:T146" si="125">AVERAGE(G143:J143)</f>
        <v>6663.8539250000003</v>
      </c>
      <c r="U143" s="30">
        <f t="shared" ref="U143:U146" si="126">T143*12</f>
        <v>79966.247100000008</v>
      </c>
    </row>
    <row r="144" spans="1:21" x14ac:dyDescent="0.3">
      <c r="A144" s="39" t="s">
        <v>55</v>
      </c>
      <c r="B144" s="33">
        <f>SUM(B142*1.07)</f>
        <v>5827.8085000000001</v>
      </c>
      <c r="C144" s="42">
        <f t="shared" ref="C144:S144" si="127">SUM(C48)</f>
        <v>6268.9790499999999</v>
      </c>
      <c r="D144" s="42">
        <f t="shared" si="127"/>
        <v>6383.356600000001</v>
      </c>
      <c r="E144" s="42">
        <f t="shared" si="127"/>
        <v>6503.1807000000008</v>
      </c>
      <c r="F144" s="42">
        <f t="shared" si="127"/>
        <v>6617.55825</v>
      </c>
      <c r="G144" s="42">
        <f t="shared" si="127"/>
        <v>6721.0427</v>
      </c>
      <c r="H144" s="42">
        <f t="shared" si="127"/>
        <v>6791.8478500000001</v>
      </c>
      <c r="I144" s="42">
        <f t="shared" si="127"/>
        <v>6862.6530000000002</v>
      </c>
      <c r="J144" s="42">
        <f t="shared" si="127"/>
        <v>6933.4581500000004</v>
      </c>
      <c r="K144" s="42">
        <f t="shared" si="127"/>
        <v>7004.2632999999996</v>
      </c>
      <c r="L144" s="42">
        <f t="shared" si="127"/>
        <v>7075.0684500000007</v>
      </c>
      <c r="M144" s="42">
        <f t="shared" si="127"/>
        <v>7145.8735999999999</v>
      </c>
      <c r="N144" s="42">
        <f t="shared" si="127"/>
        <v>7216.6787499999991</v>
      </c>
      <c r="O144" s="42">
        <f t="shared" si="127"/>
        <v>7287.4839000000002</v>
      </c>
      <c r="P144" s="42">
        <f t="shared" si="127"/>
        <v>7358.2890499999994</v>
      </c>
      <c r="Q144" s="42">
        <f t="shared" si="127"/>
        <v>7418.2011000000002</v>
      </c>
      <c r="R144" s="42">
        <f t="shared" si="127"/>
        <v>7461.7735000000002</v>
      </c>
      <c r="S144" s="43">
        <f t="shared" si="127"/>
        <v>7505.3459000000003</v>
      </c>
      <c r="T144" s="30">
        <f t="shared" si="125"/>
        <v>6827.2504250000002</v>
      </c>
      <c r="U144" s="30">
        <f t="shared" si="126"/>
        <v>81927.005100000009</v>
      </c>
    </row>
    <row r="145" spans="1:21" x14ac:dyDescent="0.3">
      <c r="A145" s="39" t="s">
        <v>56</v>
      </c>
      <c r="B145" s="33">
        <f>SUM(B142*1.12)</f>
        <v>6100.1360000000004</v>
      </c>
      <c r="C145" s="42">
        <f t="shared" ref="C145:S145" si="128">SUM(C66)</f>
        <v>6541.3065500000002</v>
      </c>
      <c r="D145" s="42">
        <f t="shared" si="128"/>
        <v>6655.6841000000013</v>
      </c>
      <c r="E145" s="42">
        <f t="shared" si="128"/>
        <v>6775.5082000000011</v>
      </c>
      <c r="F145" s="42">
        <f t="shared" si="128"/>
        <v>6889.8857500000004</v>
      </c>
      <c r="G145" s="42">
        <f t="shared" si="128"/>
        <v>6993.3702000000003</v>
      </c>
      <c r="H145" s="42">
        <f t="shared" si="128"/>
        <v>7064.1753500000004</v>
      </c>
      <c r="I145" s="42">
        <f t="shared" si="128"/>
        <v>7134.9805000000006</v>
      </c>
      <c r="J145" s="42">
        <f t="shared" si="128"/>
        <v>7205.7856500000007</v>
      </c>
      <c r="K145" s="42">
        <f t="shared" si="128"/>
        <v>7276.5907999999999</v>
      </c>
      <c r="L145" s="42">
        <f t="shared" si="128"/>
        <v>7347.395950000001</v>
      </c>
      <c r="M145" s="42">
        <f t="shared" si="128"/>
        <v>7418.2011000000002</v>
      </c>
      <c r="N145" s="42">
        <f t="shared" si="128"/>
        <v>7489.0062499999995</v>
      </c>
      <c r="O145" s="42">
        <f t="shared" si="128"/>
        <v>7559.8114000000005</v>
      </c>
      <c r="P145" s="42">
        <f t="shared" si="128"/>
        <v>7630.6165499999997</v>
      </c>
      <c r="Q145" s="42">
        <f t="shared" si="128"/>
        <v>7690.5286000000006</v>
      </c>
      <c r="R145" s="42">
        <f t="shared" si="128"/>
        <v>7734.1010000000006</v>
      </c>
      <c r="S145" s="43">
        <f t="shared" si="128"/>
        <v>7777.6734000000006</v>
      </c>
      <c r="T145" s="30">
        <f t="shared" si="125"/>
        <v>7099.5779250000005</v>
      </c>
      <c r="U145" s="30">
        <f t="shared" si="126"/>
        <v>85194.935100000002</v>
      </c>
    </row>
    <row r="146" spans="1:21" x14ac:dyDescent="0.3">
      <c r="A146" s="40" t="s">
        <v>57</v>
      </c>
      <c r="B146" s="35">
        <f>SUM(B142*1.16)</f>
        <v>6317.9979999999996</v>
      </c>
      <c r="C146" s="44">
        <f>SUM(C84)</f>
        <v>6759.1685500000003</v>
      </c>
      <c r="D146" s="44">
        <f t="shared" ref="D146:S146" si="129">SUM(D84)</f>
        <v>6873.5461000000014</v>
      </c>
      <c r="E146" s="44">
        <f t="shared" si="129"/>
        <v>6993.3702000000012</v>
      </c>
      <c r="F146" s="44">
        <f t="shared" si="129"/>
        <v>7107.7477500000005</v>
      </c>
      <c r="G146" s="44">
        <f t="shared" si="129"/>
        <v>7211.2322000000004</v>
      </c>
      <c r="H146" s="44">
        <f t="shared" si="129"/>
        <v>7282.0373500000005</v>
      </c>
      <c r="I146" s="44">
        <f t="shared" si="129"/>
        <v>7352.8425000000007</v>
      </c>
      <c r="J146" s="44">
        <f t="shared" si="129"/>
        <v>7423.6476500000008</v>
      </c>
      <c r="K146" s="44">
        <f t="shared" si="129"/>
        <v>7494.4528</v>
      </c>
      <c r="L146" s="44">
        <f t="shared" si="129"/>
        <v>7565.2579500000011</v>
      </c>
      <c r="M146" s="44">
        <f t="shared" si="129"/>
        <v>7636.0631000000003</v>
      </c>
      <c r="N146" s="44">
        <f t="shared" si="129"/>
        <v>7706.8682499999995</v>
      </c>
      <c r="O146" s="44">
        <f t="shared" si="129"/>
        <v>7777.6734000000006</v>
      </c>
      <c r="P146" s="44">
        <f t="shared" si="129"/>
        <v>7848.4785499999998</v>
      </c>
      <c r="Q146" s="44">
        <f t="shared" si="129"/>
        <v>7908.3906000000006</v>
      </c>
      <c r="R146" s="44">
        <f t="shared" si="129"/>
        <v>7951.9630000000006</v>
      </c>
      <c r="S146" s="45">
        <f t="shared" si="129"/>
        <v>7995.5354000000007</v>
      </c>
      <c r="T146" s="31">
        <f t="shared" si="125"/>
        <v>7317.4399250000006</v>
      </c>
      <c r="U146" s="31">
        <f t="shared" si="126"/>
        <v>87809.279100000014</v>
      </c>
    </row>
    <row r="147" spans="1:21" x14ac:dyDescent="0.3">
      <c r="B147" s="8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</row>
    <row r="148" spans="1:21" ht="13.5" thickBot="1" x14ac:dyDescent="0.35">
      <c r="A148" s="6" t="s">
        <v>63</v>
      </c>
      <c r="B148" s="6"/>
      <c r="C148" s="36"/>
      <c r="D148" s="36"/>
      <c r="E148" s="36"/>
      <c r="F148" s="36"/>
      <c r="G148" s="36" t="s">
        <v>64</v>
      </c>
    </row>
    <row r="149" spans="1:21" ht="26.5" customHeight="1" x14ac:dyDescent="0.3">
      <c r="C149" s="22"/>
      <c r="D149" s="22"/>
      <c r="E149" s="22"/>
      <c r="F149" s="22"/>
      <c r="G149" s="22"/>
      <c r="T149" s="10" t="s">
        <v>10</v>
      </c>
      <c r="U149" s="11"/>
    </row>
    <row r="150" spans="1:21" ht="12.5" customHeight="1" x14ac:dyDescent="0.3">
      <c r="A150" s="49" t="s">
        <v>7</v>
      </c>
      <c r="B150" s="49" t="s">
        <v>8</v>
      </c>
      <c r="C150" s="52" t="s">
        <v>9</v>
      </c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4"/>
      <c r="T150" s="26"/>
      <c r="U150" s="27"/>
    </row>
    <row r="151" spans="1:21" ht="13.5" thickBot="1" x14ac:dyDescent="0.35">
      <c r="A151" s="50"/>
      <c r="B151" s="50"/>
      <c r="C151" s="12" t="s">
        <v>11</v>
      </c>
      <c r="D151" s="13" t="s">
        <v>12</v>
      </c>
      <c r="E151" s="12" t="s">
        <v>13</v>
      </c>
      <c r="F151" s="13" t="s">
        <v>14</v>
      </c>
      <c r="G151" s="12" t="s">
        <v>15</v>
      </c>
      <c r="H151" s="13" t="s">
        <v>16</v>
      </c>
      <c r="I151" s="12" t="s">
        <v>17</v>
      </c>
      <c r="J151" s="13" t="s">
        <v>18</v>
      </c>
      <c r="K151" s="12" t="s">
        <v>19</v>
      </c>
      <c r="L151" s="13" t="s">
        <v>20</v>
      </c>
      <c r="M151" s="12" t="s">
        <v>21</v>
      </c>
      <c r="N151" s="13" t="s">
        <v>22</v>
      </c>
      <c r="O151" s="12" t="s">
        <v>23</v>
      </c>
      <c r="P151" s="13" t="s">
        <v>24</v>
      </c>
      <c r="Q151" s="12" t="s">
        <v>25</v>
      </c>
      <c r="R151" s="13" t="s">
        <v>26</v>
      </c>
      <c r="S151" s="12" t="s">
        <v>27</v>
      </c>
      <c r="T151" s="14"/>
      <c r="U151" s="15"/>
    </row>
    <row r="152" spans="1:21" ht="26" x14ac:dyDescent="0.3">
      <c r="A152" s="51"/>
      <c r="B152" s="51"/>
      <c r="C152" s="16" t="s">
        <v>28</v>
      </c>
      <c r="D152" s="17" t="s">
        <v>29</v>
      </c>
      <c r="E152" s="16" t="s">
        <v>30</v>
      </c>
      <c r="F152" s="17" t="s">
        <v>31</v>
      </c>
      <c r="G152" s="16" t="s">
        <v>32</v>
      </c>
      <c r="H152" s="17" t="s">
        <v>33</v>
      </c>
      <c r="I152" s="16" t="s">
        <v>34</v>
      </c>
      <c r="J152" s="17" t="s">
        <v>35</v>
      </c>
      <c r="K152" s="16" t="s">
        <v>36</v>
      </c>
      <c r="L152" s="17" t="s">
        <v>37</v>
      </c>
      <c r="M152" s="16" t="s">
        <v>38</v>
      </c>
      <c r="N152" s="17" t="s">
        <v>39</v>
      </c>
      <c r="O152" s="16" t="s">
        <v>40</v>
      </c>
      <c r="P152" s="17" t="s">
        <v>41</v>
      </c>
      <c r="Q152" s="16" t="s">
        <v>42</v>
      </c>
      <c r="R152" s="17" t="s">
        <v>43</v>
      </c>
      <c r="S152" s="16" t="s">
        <v>44</v>
      </c>
      <c r="T152" s="28" t="s">
        <v>45</v>
      </c>
      <c r="U152" s="29" t="s">
        <v>46</v>
      </c>
    </row>
    <row r="153" spans="1:21" x14ac:dyDescent="0.3">
      <c r="A153" s="32" t="s">
        <v>53</v>
      </c>
      <c r="B153" s="33">
        <f t="shared" ref="B153:S153" si="130">B15</f>
        <v>5869.78</v>
      </c>
      <c r="C153" s="42">
        <f t="shared" si="130"/>
        <v>6345.2321799999991</v>
      </c>
      <c r="D153" s="42">
        <f t="shared" si="130"/>
        <v>6468.4975600000007</v>
      </c>
      <c r="E153" s="42">
        <f t="shared" si="130"/>
        <v>6597.6327200000005</v>
      </c>
      <c r="F153" s="42">
        <f t="shared" si="130"/>
        <v>6720.8980999999994</v>
      </c>
      <c r="G153" s="42">
        <f t="shared" si="130"/>
        <v>6832.4239199999993</v>
      </c>
      <c r="H153" s="42">
        <f t="shared" si="130"/>
        <v>6908.7310600000001</v>
      </c>
      <c r="I153" s="42">
        <f t="shared" si="130"/>
        <v>6985.0381999999991</v>
      </c>
      <c r="J153" s="42">
        <f t="shared" si="130"/>
        <v>7061.3453399999999</v>
      </c>
      <c r="K153" s="42">
        <f t="shared" si="130"/>
        <v>7137.6524799999997</v>
      </c>
      <c r="L153" s="42">
        <f t="shared" si="130"/>
        <v>7213.9596200000005</v>
      </c>
      <c r="M153" s="42">
        <f t="shared" si="130"/>
        <v>7290.2667599999995</v>
      </c>
      <c r="N153" s="42">
        <f t="shared" si="130"/>
        <v>7366.5738999999994</v>
      </c>
      <c r="O153" s="42">
        <f t="shared" si="130"/>
        <v>7442.8810400000002</v>
      </c>
      <c r="P153" s="42">
        <f t="shared" si="130"/>
        <v>7519.1881799999992</v>
      </c>
      <c r="Q153" s="42">
        <f t="shared" si="130"/>
        <v>7583.75576</v>
      </c>
      <c r="R153" s="42">
        <f t="shared" si="130"/>
        <v>7630.7139999999999</v>
      </c>
      <c r="S153" s="43">
        <f t="shared" si="130"/>
        <v>7677.6722399999999</v>
      </c>
      <c r="T153" s="30">
        <f>AVERAGE(G153:J153)</f>
        <v>6946.8846299999996</v>
      </c>
      <c r="U153" s="30">
        <f>T153*12</f>
        <v>83362.615559999991</v>
      </c>
    </row>
    <row r="154" spans="1:21" x14ac:dyDescent="0.3">
      <c r="A154" s="32" t="s">
        <v>54</v>
      </c>
      <c r="B154" s="33">
        <f>SUM(B153*1.04)</f>
        <v>6104.5712000000003</v>
      </c>
      <c r="C154" s="42">
        <f t="shared" ref="C154:S154" si="131">C32</f>
        <v>6580.0233799999987</v>
      </c>
      <c r="D154" s="42">
        <f t="shared" si="131"/>
        <v>6703.2887600000004</v>
      </c>
      <c r="E154" s="42">
        <f t="shared" si="131"/>
        <v>6832.4239200000002</v>
      </c>
      <c r="F154" s="42">
        <f t="shared" si="131"/>
        <v>6955.6892999999991</v>
      </c>
      <c r="G154" s="42">
        <f t="shared" si="131"/>
        <v>7067.2151199999989</v>
      </c>
      <c r="H154" s="42">
        <f t="shared" si="131"/>
        <v>7143.5222599999997</v>
      </c>
      <c r="I154" s="42">
        <f t="shared" si="131"/>
        <v>7219.8293999999987</v>
      </c>
      <c r="J154" s="42">
        <f t="shared" si="131"/>
        <v>7296.1365399999995</v>
      </c>
      <c r="K154" s="42">
        <f t="shared" si="131"/>
        <v>7372.4436799999994</v>
      </c>
      <c r="L154" s="42">
        <f t="shared" si="131"/>
        <v>7448.7508200000002</v>
      </c>
      <c r="M154" s="42">
        <f t="shared" si="131"/>
        <v>7525.0579599999992</v>
      </c>
      <c r="N154" s="42">
        <f t="shared" si="131"/>
        <v>7601.3650999999991</v>
      </c>
      <c r="O154" s="42">
        <f t="shared" si="131"/>
        <v>7677.6722399999999</v>
      </c>
      <c r="P154" s="42">
        <f t="shared" si="131"/>
        <v>7753.9793799999989</v>
      </c>
      <c r="Q154" s="42">
        <f t="shared" si="131"/>
        <v>7818.5469599999997</v>
      </c>
      <c r="R154" s="42">
        <f t="shared" si="131"/>
        <v>7865.5051999999996</v>
      </c>
      <c r="S154" s="43">
        <f t="shared" si="131"/>
        <v>7912.4634399999995</v>
      </c>
      <c r="T154" s="30">
        <f t="shared" ref="T154:T157" si="132">AVERAGE(G154:J154)</f>
        <v>7181.6758299999992</v>
      </c>
      <c r="U154" s="30">
        <f t="shared" ref="U154:U157" si="133">T154*12</f>
        <v>86180.109959999987</v>
      </c>
    </row>
    <row r="155" spans="1:21" x14ac:dyDescent="0.3">
      <c r="A155" s="32" t="s">
        <v>55</v>
      </c>
      <c r="B155" s="33">
        <f>SUM(B153*1.07)</f>
        <v>6280.6646000000001</v>
      </c>
      <c r="C155" s="42">
        <f t="shared" ref="C155:S155" si="134">C49</f>
        <v>6756.1167799999994</v>
      </c>
      <c r="D155" s="42">
        <f t="shared" si="134"/>
        <v>6879.382160000001</v>
      </c>
      <c r="E155" s="42">
        <f t="shared" si="134"/>
        <v>7008.5173200000008</v>
      </c>
      <c r="F155" s="42">
        <f t="shared" si="134"/>
        <v>7131.7826999999997</v>
      </c>
      <c r="G155" s="42">
        <f t="shared" si="134"/>
        <v>7243.3085199999996</v>
      </c>
      <c r="H155" s="42">
        <f t="shared" si="134"/>
        <v>7319.6156600000004</v>
      </c>
      <c r="I155" s="42">
        <f t="shared" si="134"/>
        <v>7395.9227999999994</v>
      </c>
      <c r="J155" s="42">
        <f t="shared" si="134"/>
        <v>7472.2299400000002</v>
      </c>
      <c r="K155" s="42">
        <f t="shared" si="134"/>
        <v>7548.5370800000001</v>
      </c>
      <c r="L155" s="42">
        <f t="shared" si="134"/>
        <v>7624.8442200000009</v>
      </c>
      <c r="M155" s="42">
        <f t="shared" si="134"/>
        <v>7701.1513599999998</v>
      </c>
      <c r="N155" s="42">
        <f t="shared" si="134"/>
        <v>7777.4584999999997</v>
      </c>
      <c r="O155" s="42">
        <f t="shared" si="134"/>
        <v>7853.7656400000005</v>
      </c>
      <c r="P155" s="42">
        <f t="shared" si="134"/>
        <v>7930.0727799999995</v>
      </c>
      <c r="Q155" s="42">
        <f t="shared" si="134"/>
        <v>7994.6403600000003</v>
      </c>
      <c r="R155" s="42">
        <f t="shared" si="134"/>
        <v>8041.5986000000003</v>
      </c>
      <c r="S155" s="43">
        <f t="shared" si="134"/>
        <v>8088.5568400000002</v>
      </c>
      <c r="T155" s="30">
        <f t="shared" si="132"/>
        <v>7357.7692299999999</v>
      </c>
      <c r="U155" s="30">
        <f t="shared" si="133"/>
        <v>88293.230760000006</v>
      </c>
    </row>
    <row r="156" spans="1:21" x14ac:dyDescent="0.3">
      <c r="A156" s="32" t="s">
        <v>56</v>
      </c>
      <c r="B156" s="33">
        <f>SUM(B153*1.12)</f>
        <v>6574.1536000000006</v>
      </c>
      <c r="C156" s="42">
        <f t="shared" ref="C156:S156" si="135">C67</f>
        <v>7049.605779999999</v>
      </c>
      <c r="D156" s="42">
        <f t="shared" si="135"/>
        <v>7172.8711600000006</v>
      </c>
      <c r="E156" s="42">
        <f t="shared" si="135"/>
        <v>7302.0063200000004</v>
      </c>
      <c r="F156" s="42">
        <f t="shared" si="135"/>
        <v>7425.2716999999993</v>
      </c>
      <c r="G156" s="42">
        <f t="shared" si="135"/>
        <v>7536.7975199999992</v>
      </c>
      <c r="H156" s="42">
        <f t="shared" si="135"/>
        <v>7613.10466</v>
      </c>
      <c r="I156" s="42">
        <f t="shared" si="135"/>
        <v>7689.4117999999989</v>
      </c>
      <c r="J156" s="42">
        <f t="shared" si="135"/>
        <v>7765.7189399999997</v>
      </c>
      <c r="K156" s="42">
        <f t="shared" si="135"/>
        <v>7842.0260799999996</v>
      </c>
      <c r="L156" s="42">
        <f t="shared" si="135"/>
        <v>7918.3332200000004</v>
      </c>
      <c r="M156" s="42">
        <f t="shared" si="135"/>
        <v>7994.6403599999994</v>
      </c>
      <c r="N156" s="42">
        <f t="shared" si="135"/>
        <v>8070.9474999999993</v>
      </c>
      <c r="O156" s="42">
        <f t="shared" si="135"/>
        <v>8147.2546400000001</v>
      </c>
      <c r="P156" s="42">
        <f t="shared" si="135"/>
        <v>8223.56178</v>
      </c>
      <c r="Q156" s="42">
        <f t="shared" si="135"/>
        <v>8288.129359999999</v>
      </c>
      <c r="R156" s="42">
        <f t="shared" si="135"/>
        <v>8335.0875999999989</v>
      </c>
      <c r="S156" s="43">
        <f t="shared" si="135"/>
        <v>8382.0458399999989</v>
      </c>
      <c r="T156" s="30">
        <f t="shared" si="132"/>
        <v>7651.2582299999995</v>
      </c>
      <c r="U156" s="30">
        <f t="shared" si="133"/>
        <v>91815.098759999993</v>
      </c>
    </row>
    <row r="157" spans="1:21" x14ac:dyDescent="0.3">
      <c r="A157" s="34" t="s">
        <v>57</v>
      </c>
      <c r="B157" s="35">
        <f>SUM(B153*1.16)</f>
        <v>6808.9447999999993</v>
      </c>
      <c r="C157" s="44">
        <f>C85</f>
        <v>7284.3969799999995</v>
      </c>
      <c r="D157" s="44">
        <f t="shared" ref="D157:S157" si="136">D85</f>
        <v>7407.6623600000003</v>
      </c>
      <c r="E157" s="44">
        <f t="shared" si="136"/>
        <v>7536.7975200000001</v>
      </c>
      <c r="F157" s="44">
        <f t="shared" si="136"/>
        <v>7660.062899999999</v>
      </c>
      <c r="G157" s="44">
        <f t="shared" si="136"/>
        <v>7771.5887199999997</v>
      </c>
      <c r="H157" s="44">
        <f t="shared" si="136"/>
        <v>7847.8958600000005</v>
      </c>
      <c r="I157" s="44">
        <f t="shared" si="136"/>
        <v>7924.2029999999995</v>
      </c>
      <c r="J157" s="44">
        <f t="shared" si="136"/>
        <v>8000.5101400000003</v>
      </c>
      <c r="K157" s="44">
        <f t="shared" si="136"/>
        <v>8076.8172799999993</v>
      </c>
      <c r="L157" s="44">
        <f t="shared" si="136"/>
        <v>8153.1244200000001</v>
      </c>
      <c r="M157" s="44">
        <f t="shared" si="136"/>
        <v>8229.4315599999991</v>
      </c>
      <c r="N157" s="44">
        <f t="shared" si="136"/>
        <v>8305.7386999999999</v>
      </c>
      <c r="O157" s="44">
        <f t="shared" si="136"/>
        <v>8382.0458400000007</v>
      </c>
      <c r="P157" s="44">
        <f t="shared" si="136"/>
        <v>8458.3529799999997</v>
      </c>
      <c r="Q157" s="44">
        <f t="shared" si="136"/>
        <v>8522.9205600000005</v>
      </c>
      <c r="R157" s="44">
        <f t="shared" si="136"/>
        <v>8569.8788000000004</v>
      </c>
      <c r="S157" s="45">
        <f t="shared" si="136"/>
        <v>8616.8370400000003</v>
      </c>
      <c r="T157" s="31">
        <f t="shared" si="132"/>
        <v>7886.0494299999991</v>
      </c>
      <c r="U157" s="31">
        <f t="shared" si="133"/>
        <v>94632.593159999989</v>
      </c>
    </row>
    <row r="158" spans="1:21" x14ac:dyDescent="0.3"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</row>
    <row r="159" spans="1:21" ht="13.5" thickBot="1" x14ac:dyDescent="0.35">
      <c r="A159" s="6" t="s">
        <v>65</v>
      </c>
      <c r="B159" s="6"/>
      <c r="C159" s="36"/>
      <c r="D159" s="36"/>
      <c r="E159" s="36"/>
      <c r="F159" s="36"/>
      <c r="G159" s="36" t="s">
        <v>66</v>
      </c>
    </row>
    <row r="160" spans="1:21" ht="24" customHeight="1" x14ac:dyDescent="0.3">
      <c r="C160" s="22"/>
      <c r="D160" s="22"/>
      <c r="E160" s="22"/>
      <c r="F160" s="22"/>
      <c r="G160" s="22"/>
      <c r="T160" s="10" t="s">
        <v>10</v>
      </c>
      <c r="U160" s="11"/>
    </row>
    <row r="161" spans="1:21" ht="12.75" customHeight="1" x14ac:dyDescent="0.3">
      <c r="A161" s="49" t="s">
        <v>7</v>
      </c>
      <c r="B161" s="49" t="s">
        <v>8</v>
      </c>
      <c r="C161" s="52" t="s">
        <v>9</v>
      </c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4"/>
      <c r="T161" s="26"/>
      <c r="U161" s="27"/>
    </row>
    <row r="162" spans="1:21" ht="13.5" thickBot="1" x14ac:dyDescent="0.35">
      <c r="A162" s="50"/>
      <c r="B162" s="50"/>
      <c r="C162" s="12" t="s">
        <v>11</v>
      </c>
      <c r="D162" s="13" t="s">
        <v>12</v>
      </c>
      <c r="E162" s="12" t="s">
        <v>13</v>
      </c>
      <c r="F162" s="13" t="s">
        <v>14</v>
      </c>
      <c r="G162" s="12" t="s">
        <v>15</v>
      </c>
      <c r="H162" s="13" t="s">
        <v>16</v>
      </c>
      <c r="I162" s="12" t="s">
        <v>17</v>
      </c>
      <c r="J162" s="13" t="s">
        <v>18</v>
      </c>
      <c r="K162" s="12" t="s">
        <v>19</v>
      </c>
      <c r="L162" s="13" t="s">
        <v>20</v>
      </c>
      <c r="M162" s="12" t="s">
        <v>21</v>
      </c>
      <c r="N162" s="13" t="s">
        <v>22</v>
      </c>
      <c r="O162" s="12" t="s">
        <v>23</v>
      </c>
      <c r="P162" s="13" t="s">
        <v>24</v>
      </c>
      <c r="Q162" s="12" t="s">
        <v>25</v>
      </c>
      <c r="R162" s="13" t="s">
        <v>26</v>
      </c>
      <c r="S162" s="12" t="s">
        <v>27</v>
      </c>
      <c r="T162" s="14"/>
      <c r="U162" s="15"/>
    </row>
    <row r="163" spans="1:21" ht="26" x14ac:dyDescent="0.3">
      <c r="A163" s="51"/>
      <c r="B163" s="51"/>
      <c r="C163" s="16" t="s">
        <v>28</v>
      </c>
      <c r="D163" s="17" t="s">
        <v>29</v>
      </c>
      <c r="E163" s="16" t="s">
        <v>30</v>
      </c>
      <c r="F163" s="17" t="s">
        <v>31</v>
      </c>
      <c r="G163" s="16" t="s">
        <v>32</v>
      </c>
      <c r="H163" s="17" t="s">
        <v>33</v>
      </c>
      <c r="I163" s="16" t="s">
        <v>34</v>
      </c>
      <c r="J163" s="17" t="s">
        <v>35</v>
      </c>
      <c r="K163" s="16" t="s">
        <v>36</v>
      </c>
      <c r="L163" s="17" t="s">
        <v>37</v>
      </c>
      <c r="M163" s="16" t="s">
        <v>38</v>
      </c>
      <c r="N163" s="17" t="s">
        <v>39</v>
      </c>
      <c r="O163" s="16" t="s">
        <v>40</v>
      </c>
      <c r="P163" s="17" t="s">
        <v>41</v>
      </c>
      <c r="Q163" s="16" t="s">
        <v>42</v>
      </c>
      <c r="R163" s="17" t="s">
        <v>43</v>
      </c>
      <c r="S163" s="16" t="s">
        <v>44</v>
      </c>
      <c r="T163" s="28" t="s">
        <v>45</v>
      </c>
      <c r="U163" s="29" t="s">
        <v>46</v>
      </c>
    </row>
    <row r="164" spans="1:21" x14ac:dyDescent="0.3">
      <c r="A164" s="32" t="s">
        <v>53</v>
      </c>
      <c r="B164" s="33">
        <f>B16</f>
        <v>6141.81</v>
      </c>
      <c r="C164" s="42">
        <f t="shared" ref="C164:S164" si="137">SUM(C16)</f>
        <v>6639.2966100000003</v>
      </c>
      <c r="D164" s="42">
        <f t="shared" si="137"/>
        <v>6768.2746200000011</v>
      </c>
      <c r="E164" s="42">
        <f t="shared" si="137"/>
        <v>6903.3944400000009</v>
      </c>
      <c r="F164" s="42">
        <f t="shared" si="137"/>
        <v>7032.3724500000008</v>
      </c>
      <c r="G164" s="42">
        <f t="shared" si="137"/>
        <v>7149.0668400000004</v>
      </c>
      <c r="H164" s="42">
        <f t="shared" si="137"/>
        <v>7228.9103700000005</v>
      </c>
      <c r="I164" s="42">
        <f t="shared" si="137"/>
        <v>7308.7538999999997</v>
      </c>
      <c r="J164" s="42">
        <f t="shared" si="137"/>
        <v>7388.5974300000007</v>
      </c>
      <c r="K164" s="42">
        <f t="shared" si="137"/>
        <v>7468.4409599999999</v>
      </c>
      <c r="L164" s="42">
        <f t="shared" si="137"/>
        <v>7548.2844900000009</v>
      </c>
      <c r="M164" s="42">
        <f t="shared" si="137"/>
        <v>7628.1280200000001</v>
      </c>
      <c r="N164" s="42">
        <f t="shared" si="137"/>
        <v>7707.9715500000002</v>
      </c>
      <c r="O164" s="42">
        <f t="shared" si="137"/>
        <v>7787.8150800000003</v>
      </c>
      <c r="P164" s="42">
        <f t="shared" si="137"/>
        <v>7867.6586100000004</v>
      </c>
      <c r="Q164" s="42">
        <f t="shared" si="137"/>
        <v>7935.2185200000004</v>
      </c>
      <c r="R164" s="42">
        <f t="shared" si="137"/>
        <v>7984.353000000001</v>
      </c>
      <c r="S164" s="43">
        <f t="shared" si="137"/>
        <v>8033.4874800000007</v>
      </c>
      <c r="T164" s="30">
        <f>AVERAGE(G164:J164)</f>
        <v>7268.8321350000006</v>
      </c>
      <c r="U164" s="30">
        <f>T164*12</f>
        <v>87225.985620000007</v>
      </c>
    </row>
    <row r="165" spans="1:21" x14ac:dyDescent="0.3">
      <c r="A165" s="32" t="s">
        <v>54</v>
      </c>
      <c r="B165" s="33">
        <f>SUM(B164*1.04)</f>
        <v>6387.4824000000008</v>
      </c>
      <c r="C165" s="42">
        <f t="shared" ref="C165:S165" si="138">SUM(C33)</f>
        <v>6884.9690100000007</v>
      </c>
      <c r="D165" s="42">
        <f t="shared" si="138"/>
        <v>7013.9470200000014</v>
      </c>
      <c r="E165" s="42">
        <f t="shared" si="138"/>
        <v>7149.0668400000013</v>
      </c>
      <c r="F165" s="42">
        <f t="shared" si="138"/>
        <v>7278.0448500000011</v>
      </c>
      <c r="G165" s="42">
        <f t="shared" si="138"/>
        <v>7394.7392400000008</v>
      </c>
      <c r="H165" s="42">
        <f t="shared" si="138"/>
        <v>7474.5827700000009</v>
      </c>
      <c r="I165" s="42">
        <f t="shared" si="138"/>
        <v>7554.4263000000001</v>
      </c>
      <c r="J165" s="42">
        <f t="shared" si="138"/>
        <v>7634.2698300000011</v>
      </c>
      <c r="K165" s="42">
        <f t="shared" si="138"/>
        <v>7714.1133600000003</v>
      </c>
      <c r="L165" s="42">
        <f t="shared" si="138"/>
        <v>7793.9568900000013</v>
      </c>
      <c r="M165" s="42">
        <f t="shared" si="138"/>
        <v>7873.8004200000005</v>
      </c>
      <c r="N165" s="42">
        <f t="shared" si="138"/>
        <v>7953.6439500000006</v>
      </c>
      <c r="O165" s="42">
        <f t="shared" si="138"/>
        <v>8033.4874800000007</v>
      </c>
      <c r="P165" s="42">
        <f t="shared" si="138"/>
        <v>8113.3310100000008</v>
      </c>
      <c r="Q165" s="42">
        <f t="shared" si="138"/>
        <v>8180.8909200000007</v>
      </c>
      <c r="R165" s="42">
        <f t="shared" si="138"/>
        <v>8230.0254000000004</v>
      </c>
      <c r="S165" s="43">
        <f t="shared" si="138"/>
        <v>8279.1598800000011</v>
      </c>
      <c r="T165" s="30">
        <f t="shared" ref="T165:T168" si="139">AVERAGE(G165:J165)</f>
        <v>7514.5045350000009</v>
      </c>
      <c r="U165" s="30">
        <f t="shared" ref="U165:U168" si="140">T165*12</f>
        <v>90174.054420000015</v>
      </c>
    </row>
    <row r="166" spans="1:21" x14ac:dyDescent="0.3">
      <c r="A166" s="32" t="s">
        <v>55</v>
      </c>
      <c r="B166" s="33">
        <f>SUM(B164*1.07)</f>
        <v>6571.7367000000004</v>
      </c>
      <c r="C166" s="42">
        <f t="shared" ref="C166:S166" si="141">SUM(C50)</f>
        <v>7069.2233100000003</v>
      </c>
      <c r="D166" s="42">
        <f t="shared" si="141"/>
        <v>7198.201320000001</v>
      </c>
      <c r="E166" s="42">
        <f t="shared" si="141"/>
        <v>7333.3211400000009</v>
      </c>
      <c r="F166" s="42">
        <f t="shared" si="141"/>
        <v>7462.2991500000007</v>
      </c>
      <c r="G166" s="42">
        <f t="shared" si="141"/>
        <v>7578.9935400000004</v>
      </c>
      <c r="H166" s="42">
        <f t="shared" si="141"/>
        <v>7658.8370700000005</v>
      </c>
      <c r="I166" s="42">
        <f t="shared" si="141"/>
        <v>7738.6805999999997</v>
      </c>
      <c r="J166" s="42">
        <f t="shared" si="141"/>
        <v>7818.5241300000007</v>
      </c>
      <c r="K166" s="42">
        <f t="shared" si="141"/>
        <v>7898.3676599999999</v>
      </c>
      <c r="L166" s="42">
        <f t="shared" si="141"/>
        <v>7978.2111900000009</v>
      </c>
      <c r="M166" s="42">
        <f t="shared" si="141"/>
        <v>8058.0547200000001</v>
      </c>
      <c r="N166" s="42">
        <f t="shared" si="141"/>
        <v>8137.8982500000002</v>
      </c>
      <c r="O166" s="42">
        <f t="shared" si="141"/>
        <v>8217.7417800000003</v>
      </c>
      <c r="P166" s="42">
        <f t="shared" si="141"/>
        <v>8297.5853100000004</v>
      </c>
      <c r="Q166" s="42">
        <f t="shared" si="141"/>
        <v>8365.1452200000003</v>
      </c>
      <c r="R166" s="42">
        <f t="shared" si="141"/>
        <v>8414.279700000001</v>
      </c>
      <c r="S166" s="43">
        <f t="shared" si="141"/>
        <v>8463.4141800000016</v>
      </c>
      <c r="T166" s="30">
        <f t="shared" si="139"/>
        <v>7698.7588350000005</v>
      </c>
      <c r="U166" s="30">
        <f t="shared" si="140"/>
        <v>92385.106020000007</v>
      </c>
    </row>
    <row r="167" spans="1:21" x14ac:dyDescent="0.3">
      <c r="A167" s="32" t="s">
        <v>56</v>
      </c>
      <c r="B167" s="33">
        <f>SUM(B164*1.12)</f>
        <v>6878.8272000000015</v>
      </c>
      <c r="C167" s="42">
        <f t="shared" ref="C167:S167" si="142">SUM(C68)</f>
        <v>7376.3138100000006</v>
      </c>
      <c r="D167" s="42">
        <f t="shared" si="142"/>
        <v>7505.2918200000013</v>
      </c>
      <c r="E167" s="42">
        <f t="shared" si="142"/>
        <v>7640.4116400000012</v>
      </c>
      <c r="F167" s="42">
        <f t="shared" si="142"/>
        <v>7769.389650000001</v>
      </c>
      <c r="G167" s="42">
        <f t="shared" si="142"/>
        <v>7886.0840400000006</v>
      </c>
      <c r="H167" s="42">
        <f t="shared" si="142"/>
        <v>7965.9275700000007</v>
      </c>
      <c r="I167" s="42">
        <f t="shared" si="142"/>
        <v>8045.7710999999999</v>
      </c>
      <c r="J167" s="42">
        <f t="shared" si="142"/>
        <v>8125.6146300000009</v>
      </c>
      <c r="K167" s="42">
        <f t="shared" si="142"/>
        <v>8205.4581600000001</v>
      </c>
      <c r="L167" s="42">
        <f t="shared" si="142"/>
        <v>8285.3016900000002</v>
      </c>
      <c r="M167" s="42">
        <f t="shared" si="142"/>
        <v>8365.1452200000003</v>
      </c>
      <c r="N167" s="42">
        <f t="shared" si="142"/>
        <v>8444.9887500000004</v>
      </c>
      <c r="O167" s="42">
        <f t="shared" si="142"/>
        <v>8524.8322800000005</v>
      </c>
      <c r="P167" s="42">
        <f t="shared" si="142"/>
        <v>8604.6758100000006</v>
      </c>
      <c r="Q167" s="42">
        <f t="shared" si="142"/>
        <v>8672.2357200000006</v>
      </c>
      <c r="R167" s="42">
        <f t="shared" si="142"/>
        <v>8721.3702000000012</v>
      </c>
      <c r="S167" s="43">
        <f t="shared" si="142"/>
        <v>8770.50468</v>
      </c>
      <c r="T167" s="30">
        <f t="shared" si="139"/>
        <v>8005.8493349999999</v>
      </c>
      <c r="U167" s="30">
        <f t="shared" si="140"/>
        <v>96070.192020000002</v>
      </c>
    </row>
    <row r="168" spans="1:21" x14ac:dyDescent="0.3">
      <c r="A168" s="34" t="s">
        <v>57</v>
      </c>
      <c r="B168" s="35">
        <f>SUM(B164*1.16)</f>
        <v>7124.4996000000001</v>
      </c>
      <c r="C168" s="44">
        <f>SUM(C86)</f>
        <v>7621.98621</v>
      </c>
      <c r="D168" s="44">
        <f t="shared" ref="D168:S168" si="143">SUM(D86)</f>
        <v>7750.9642200000008</v>
      </c>
      <c r="E168" s="44">
        <f t="shared" si="143"/>
        <v>7886.0840400000006</v>
      </c>
      <c r="F168" s="44">
        <f t="shared" si="143"/>
        <v>8015.0620500000005</v>
      </c>
      <c r="G168" s="44">
        <f t="shared" si="143"/>
        <v>8131.7564400000001</v>
      </c>
      <c r="H168" s="44">
        <f t="shared" si="143"/>
        <v>8211.5999700000011</v>
      </c>
      <c r="I168" s="44">
        <f t="shared" si="143"/>
        <v>8291.4434999999994</v>
      </c>
      <c r="J168" s="44">
        <f t="shared" si="143"/>
        <v>8371.2870300000013</v>
      </c>
      <c r="K168" s="44">
        <f t="shared" si="143"/>
        <v>8451.1305599999996</v>
      </c>
      <c r="L168" s="44">
        <f t="shared" si="143"/>
        <v>8530.9740900000015</v>
      </c>
      <c r="M168" s="44">
        <f t="shared" si="143"/>
        <v>8610.8176199999998</v>
      </c>
      <c r="N168" s="44">
        <f t="shared" si="143"/>
        <v>8690.6611499999999</v>
      </c>
      <c r="O168" s="44">
        <f t="shared" si="143"/>
        <v>8770.50468</v>
      </c>
      <c r="P168" s="44">
        <f t="shared" si="143"/>
        <v>8850.3482100000001</v>
      </c>
      <c r="Q168" s="44">
        <f t="shared" si="143"/>
        <v>8917.9081200000001</v>
      </c>
      <c r="R168" s="44">
        <f t="shared" si="143"/>
        <v>8967.0426000000007</v>
      </c>
      <c r="S168" s="45">
        <f t="shared" si="143"/>
        <v>9016.1770800000013</v>
      </c>
      <c r="T168" s="31">
        <f t="shared" si="139"/>
        <v>8251.5217350000003</v>
      </c>
      <c r="U168" s="31">
        <f t="shared" si="140"/>
        <v>99018.260819999996</v>
      </c>
    </row>
  </sheetData>
  <mergeCells count="36">
    <mergeCell ref="A39:A41"/>
    <mergeCell ref="B39:B41"/>
    <mergeCell ref="A1:F1"/>
    <mergeCell ref="G1:L1"/>
    <mergeCell ref="G2:L2"/>
    <mergeCell ref="A5:A7"/>
    <mergeCell ref="B5:B7"/>
    <mergeCell ref="A22:A24"/>
    <mergeCell ref="B22:B24"/>
    <mergeCell ref="A106:A108"/>
    <mergeCell ref="B106:B108"/>
    <mergeCell ref="C106:S106"/>
    <mergeCell ref="A57:A59"/>
    <mergeCell ref="B57:B59"/>
    <mergeCell ref="A75:A77"/>
    <mergeCell ref="B75:B77"/>
    <mergeCell ref="C75:S75"/>
    <mergeCell ref="A91:E91"/>
    <mergeCell ref="A95:A97"/>
    <mergeCell ref="B95:B97"/>
    <mergeCell ref="C95:S95"/>
    <mergeCell ref="A117:A119"/>
    <mergeCell ref="B117:B119"/>
    <mergeCell ref="C117:S117"/>
    <mergeCell ref="A128:A130"/>
    <mergeCell ref="B128:B130"/>
    <mergeCell ref="C128:S128"/>
    <mergeCell ref="A161:A163"/>
    <mergeCell ref="B161:B163"/>
    <mergeCell ref="C161:S161"/>
    <mergeCell ref="A139:A141"/>
    <mergeCell ref="B139:B141"/>
    <mergeCell ref="C139:S139"/>
    <mergeCell ref="A150:A152"/>
    <mergeCell ref="B150:B152"/>
    <mergeCell ref="C150:S150"/>
  </mergeCells>
  <pageMargins left="0.7" right="0.7" top="0.75" bottom="0.75" header="0.3" footer="0.3"/>
  <pageSetup paperSize="9" scale="49" orientation="landscape" r:id="rId1"/>
  <rowBreaks count="1" manualBreakCount="1">
    <brk id="1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Sarkala Satu (SY)</dc:creator>
  <cp:lastModifiedBy>Härkisaari Kaisa (SY)</cp:lastModifiedBy>
  <dcterms:created xsi:type="dcterms:W3CDTF">2025-06-04T07:50:57Z</dcterms:created>
  <dcterms:modified xsi:type="dcterms:W3CDTF">2025-06-19T10:37:12Z</dcterms:modified>
</cp:coreProperties>
</file>