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OH9010\8 Hallinto\VKST\Hallinto johto\Ves-asiat\Palkkataulukot syyttäjä ja toimisto\Syyttäjät\Palkkataulukko 01102026\"/>
    </mc:Choice>
  </mc:AlternateContent>
  <xr:revisionPtr revIDLastSave="0" documentId="13_ncr:1_{97F4A5D7-E1F0-4FC5-9F58-D45306F585C9}" xr6:coauthVersionLast="47" xr6:coauthVersionMax="47" xr10:uidLastSave="{00000000-0000-0000-0000-000000000000}"/>
  <bookViews>
    <workbookView xWindow="22932" yWindow="-108" windowWidth="19416" windowHeight="10296" xr2:uid="{F3C573AD-456A-4E28-9D1D-D73151D1A770}"/>
  </bookViews>
  <sheets>
    <sheet name="Taul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2" i="1" l="1"/>
  <c r="L170" i="1"/>
  <c r="H170" i="1"/>
  <c r="B170" i="1"/>
  <c r="P163" i="1"/>
  <c r="N163" i="1"/>
  <c r="D163" i="1"/>
  <c r="K162" i="1"/>
  <c r="S161" i="1"/>
  <c r="S159" i="1"/>
  <c r="R159" i="1"/>
  <c r="Q159" i="1"/>
  <c r="P159" i="1"/>
  <c r="O159" i="1"/>
  <c r="B159" i="1"/>
  <c r="B162" i="1" s="1"/>
  <c r="P152" i="1"/>
  <c r="P150" i="1"/>
  <c r="O150" i="1"/>
  <c r="L148" i="1"/>
  <c r="B148" i="1"/>
  <c r="C145" i="1"/>
  <c r="G143" i="1"/>
  <c r="S141" i="1"/>
  <c r="R141" i="1"/>
  <c r="M141" i="1"/>
  <c r="C140" i="1"/>
  <c r="S138" i="1"/>
  <c r="Q138" i="1"/>
  <c r="B137" i="1"/>
  <c r="B138" i="1" s="1"/>
  <c r="G130" i="1"/>
  <c r="F130" i="1"/>
  <c r="E130" i="1"/>
  <c r="C130" i="1"/>
  <c r="Q128" i="1"/>
  <c r="S126" i="1"/>
  <c r="R126" i="1"/>
  <c r="C126" i="1"/>
  <c r="B126" i="1"/>
  <c r="B128" i="1" s="1"/>
  <c r="C123" i="1"/>
  <c r="G121" i="1"/>
  <c r="M118" i="1"/>
  <c r="L118" i="1"/>
  <c r="E118" i="1"/>
  <c r="L117" i="1"/>
  <c r="C117" i="1"/>
  <c r="Q116" i="1"/>
  <c r="P115" i="1"/>
  <c r="O115" i="1"/>
  <c r="N115" i="1"/>
  <c r="D115" i="1"/>
  <c r="B115" i="1"/>
  <c r="B117" i="1" s="1"/>
  <c r="C112" i="1"/>
  <c r="G110" i="1"/>
  <c r="C108" i="1"/>
  <c r="B108" i="1"/>
  <c r="G107" i="1"/>
  <c r="F107" i="1"/>
  <c r="B107" i="1"/>
  <c r="I106" i="1"/>
  <c r="B106" i="1"/>
  <c r="O105" i="1"/>
  <c r="N105" i="1"/>
  <c r="M105" i="1"/>
  <c r="B104" i="1"/>
  <c r="B105" i="1" s="1"/>
  <c r="C101" i="1"/>
  <c r="G99" i="1"/>
  <c r="G97" i="1"/>
  <c r="A97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S92" i="1"/>
  <c r="S174" i="1" s="1"/>
  <c r="R92" i="1"/>
  <c r="R174" i="1" s="1"/>
  <c r="Q92" i="1"/>
  <c r="Q174" i="1" s="1"/>
  <c r="P92" i="1"/>
  <c r="P174" i="1" s="1"/>
  <c r="O92" i="1"/>
  <c r="O174" i="1" s="1"/>
  <c r="N92" i="1"/>
  <c r="N174" i="1" s="1"/>
  <c r="M92" i="1"/>
  <c r="M174" i="1" s="1"/>
  <c r="L92" i="1"/>
  <c r="L174" i="1" s="1"/>
  <c r="K92" i="1"/>
  <c r="K174" i="1" s="1"/>
  <c r="J92" i="1"/>
  <c r="J174" i="1" s="1"/>
  <c r="I92" i="1"/>
  <c r="I174" i="1" s="1"/>
  <c r="H92" i="1"/>
  <c r="H174" i="1" s="1"/>
  <c r="G92" i="1"/>
  <c r="G174" i="1" s="1"/>
  <c r="F92" i="1"/>
  <c r="F174" i="1" s="1"/>
  <c r="E92" i="1"/>
  <c r="E174" i="1" s="1"/>
  <c r="D92" i="1"/>
  <c r="D174" i="1" s="1"/>
  <c r="C92" i="1"/>
  <c r="C174" i="1" s="1"/>
  <c r="S91" i="1"/>
  <c r="S163" i="1" s="1"/>
  <c r="R91" i="1"/>
  <c r="R163" i="1" s="1"/>
  <c r="Q91" i="1"/>
  <c r="Q163" i="1" s="1"/>
  <c r="P91" i="1"/>
  <c r="O91" i="1"/>
  <c r="O163" i="1" s="1"/>
  <c r="N91" i="1"/>
  <c r="M91" i="1"/>
  <c r="M163" i="1" s="1"/>
  <c r="L91" i="1"/>
  <c r="L163" i="1" s="1"/>
  <c r="K91" i="1"/>
  <c r="K163" i="1" s="1"/>
  <c r="J91" i="1"/>
  <c r="J163" i="1" s="1"/>
  <c r="I91" i="1"/>
  <c r="I163" i="1" s="1"/>
  <c r="H91" i="1"/>
  <c r="H163" i="1" s="1"/>
  <c r="G91" i="1"/>
  <c r="T91" i="1" s="1"/>
  <c r="U91" i="1" s="1"/>
  <c r="F91" i="1"/>
  <c r="F163" i="1" s="1"/>
  <c r="E91" i="1"/>
  <c r="E163" i="1" s="1"/>
  <c r="D91" i="1"/>
  <c r="C91" i="1"/>
  <c r="C163" i="1" s="1"/>
  <c r="S90" i="1"/>
  <c r="S152" i="1" s="1"/>
  <c r="R90" i="1"/>
  <c r="R152" i="1" s="1"/>
  <c r="Q90" i="1"/>
  <c r="Q152" i="1" s="1"/>
  <c r="P90" i="1"/>
  <c r="O90" i="1"/>
  <c r="O152" i="1" s="1"/>
  <c r="N90" i="1"/>
  <c r="N152" i="1" s="1"/>
  <c r="M90" i="1"/>
  <c r="M152" i="1" s="1"/>
  <c r="L90" i="1"/>
  <c r="L152" i="1" s="1"/>
  <c r="K90" i="1"/>
  <c r="K152" i="1" s="1"/>
  <c r="J90" i="1"/>
  <c r="J152" i="1" s="1"/>
  <c r="I90" i="1"/>
  <c r="I152" i="1" s="1"/>
  <c r="H90" i="1"/>
  <c r="H152" i="1" s="1"/>
  <c r="G90" i="1"/>
  <c r="G152" i="1" s="1"/>
  <c r="F90" i="1"/>
  <c r="F152" i="1" s="1"/>
  <c r="E90" i="1"/>
  <c r="E152" i="1" s="1"/>
  <c r="D90" i="1"/>
  <c r="D152" i="1" s="1"/>
  <c r="C90" i="1"/>
  <c r="C152" i="1" s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S88" i="1"/>
  <c r="R88" i="1"/>
  <c r="Q88" i="1"/>
  <c r="Q141" i="1" s="1"/>
  <c r="P88" i="1"/>
  <c r="P141" i="1" s="1"/>
  <c r="O88" i="1"/>
  <c r="O141" i="1" s="1"/>
  <c r="N88" i="1"/>
  <c r="N141" i="1" s="1"/>
  <c r="M88" i="1"/>
  <c r="L88" i="1"/>
  <c r="L141" i="1" s="1"/>
  <c r="K88" i="1"/>
  <c r="K141" i="1" s="1"/>
  <c r="J88" i="1"/>
  <c r="J141" i="1" s="1"/>
  <c r="I88" i="1"/>
  <c r="I141" i="1" s="1"/>
  <c r="H88" i="1"/>
  <c r="H141" i="1" s="1"/>
  <c r="G88" i="1"/>
  <c r="G141" i="1" s="1"/>
  <c r="F88" i="1"/>
  <c r="F141" i="1" s="1"/>
  <c r="E88" i="1"/>
  <c r="E141" i="1" s="1"/>
  <c r="D88" i="1"/>
  <c r="D141" i="1" s="1"/>
  <c r="C88" i="1"/>
  <c r="C141" i="1" s="1"/>
  <c r="S87" i="1"/>
  <c r="S130" i="1" s="1"/>
  <c r="R87" i="1"/>
  <c r="R130" i="1" s="1"/>
  <c r="Q87" i="1"/>
  <c r="Q130" i="1" s="1"/>
  <c r="P87" i="1"/>
  <c r="P130" i="1" s="1"/>
  <c r="O87" i="1"/>
  <c r="O130" i="1" s="1"/>
  <c r="N87" i="1"/>
  <c r="N130" i="1" s="1"/>
  <c r="M87" i="1"/>
  <c r="M130" i="1" s="1"/>
  <c r="L87" i="1"/>
  <c r="L130" i="1" s="1"/>
  <c r="K87" i="1"/>
  <c r="K130" i="1" s="1"/>
  <c r="J87" i="1"/>
  <c r="J130" i="1" s="1"/>
  <c r="I87" i="1"/>
  <c r="I130" i="1" s="1"/>
  <c r="H87" i="1"/>
  <c r="H130" i="1" s="1"/>
  <c r="G87" i="1"/>
  <c r="F87" i="1"/>
  <c r="E87" i="1"/>
  <c r="D87" i="1"/>
  <c r="D130" i="1" s="1"/>
  <c r="C87" i="1"/>
  <c r="S86" i="1"/>
  <c r="S119" i="1" s="1"/>
  <c r="R86" i="1"/>
  <c r="R119" i="1" s="1"/>
  <c r="Q86" i="1"/>
  <c r="Q119" i="1" s="1"/>
  <c r="P86" i="1"/>
  <c r="P119" i="1" s="1"/>
  <c r="O86" i="1"/>
  <c r="O119" i="1" s="1"/>
  <c r="N86" i="1"/>
  <c r="N119" i="1" s="1"/>
  <c r="M86" i="1"/>
  <c r="M119" i="1" s="1"/>
  <c r="L86" i="1"/>
  <c r="L119" i="1" s="1"/>
  <c r="K86" i="1"/>
  <c r="K119" i="1" s="1"/>
  <c r="J86" i="1"/>
  <c r="J119" i="1" s="1"/>
  <c r="I86" i="1"/>
  <c r="I119" i="1" s="1"/>
  <c r="H86" i="1"/>
  <c r="H119" i="1" s="1"/>
  <c r="G86" i="1"/>
  <c r="T86" i="1" s="1"/>
  <c r="U86" i="1" s="1"/>
  <c r="F86" i="1"/>
  <c r="F119" i="1" s="1"/>
  <c r="E86" i="1"/>
  <c r="E119" i="1" s="1"/>
  <c r="D86" i="1"/>
  <c r="D119" i="1" s="1"/>
  <c r="C86" i="1"/>
  <c r="C119" i="1" s="1"/>
  <c r="S85" i="1"/>
  <c r="S108" i="1" s="1"/>
  <c r="R85" i="1"/>
  <c r="R108" i="1" s="1"/>
  <c r="Q85" i="1"/>
  <c r="Q108" i="1" s="1"/>
  <c r="P85" i="1"/>
  <c r="P108" i="1" s="1"/>
  <c r="O85" i="1"/>
  <c r="O108" i="1" s="1"/>
  <c r="N85" i="1"/>
  <c r="N108" i="1" s="1"/>
  <c r="M85" i="1"/>
  <c r="M108" i="1" s="1"/>
  <c r="L85" i="1"/>
  <c r="L108" i="1" s="1"/>
  <c r="K85" i="1"/>
  <c r="K108" i="1" s="1"/>
  <c r="J85" i="1"/>
  <c r="J108" i="1" s="1"/>
  <c r="I85" i="1"/>
  <c r="I108" i="1" s="1"/>
  <c r="H85" i="1"/>
  <c r="H108" i="1" s="1"/>
  <c r="G85" i="1"/>
  <c r="G108" i="1" s="1"/>
  <c r="F85" i="1"/>
  <c r="F108" i="1" s="1"/>
  <c r="E85" i="1"/>
  <c r="E108" i="1" s="1"/>
  <c r="D85" i="1"/>
  <c r="D108" i="1" s="1"/>
  <c r="C85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C81" i="1"/>
  <c r="G79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T75" i="1" s="1"/>
  <c r="U75" i="1" s="1"/>
  <c r="F75" i="1"/>
  <c r="E75" i="1"/>
  <c r="D75" i="1"/>
  <c r="C75" i="1"/>
  <c r="S74" i="1"/>
  <c r="S173" i="1" s="1"/>
  <c r="R74" i="1"/>
  <c r="R173" i="1" s="1"/>
  <c r="Q74" i="1"/>
  <c r="Q173" i="1" s="1"/>
  <c r="P74" i="1"/>
  <c r="P173" i="1" s="1"/>
  <c r="O74" i="1"/>
  <c r="O173" i="1" s="1"/>
  <c r="N74" i="1"/>
  <c r="N173" i="1" s="1"/>
  <c r="M74" i="1"/>
  <c r="M173" i="1" s="1"/>
  <c r="L74" i="1"/>
  <c r="L173" i="1" s="1"/>
  <c r="K74" i="1"/>
  <c r="K173" i="1" s="1"/>
  <c r="J74" i="1"/>
  <c r="J173" i="1" s="1"/>
  <c r="I74" i="1"/>
  <c r="I173" i="1" s="1"/>
  <c r="H74" i="1"/>
  <c r="H173" i="1" s="1"/>
  <c r="G74" i="1"/>
  <c r="F74" i="1"/>
  <c r="F173" i="1" s="1"/>
  <c r="E74" i="1"/>
  <c r="E173" i="1" s="1"/>
  <c r="D74" i="1"/>
  <c r="D173" i="1" s="1"/>
  <c r="C74" i="1"/>
  <c r="C173" i="1" s="1"/>
  <c r="S73" i="1"/>
  <c r="S162" i="1" s="1"/>
  <c r="R73" i="1"/>
  <c r="R162" i="1" s="1"/>
  <c r="Q73" i="1"/>
  <c r="Q162" i="1" s="1"/>
  <c r="P73" i="1"/>
  <c r="P162" i="1" s="1"/>
  <c r="O73" i="1"/>
  <c r="O162" i="1" s="1"/>
  <c r="N73" i="1"/>
  <c r="N162" i="1" s="1"/>
  <c r="M73" i="1"/>
  <c r="M162" i="1" s="1"/>
  <c r="L73" i="1"/>
  <c r="L162" i="1" s="1"/>
  <c r="K73" i="1"/>
  <c r="J73" i="1"/>
  <c r="J162" i="1" s="1"/>
  <c r="I73" i="1"/>
  <c r="I162" i="1" s="1"/>
  <c r="H73" i="1"/>
  <c r="H162" i="1" s="1"/>
  <c r="G73" i="1"/>
  <c r="G162" i="1" s="1"/>
  <c r="F73" i="1"/>
  <c r="F162" i="1" s="1"/>
  <c r="E73" i="1"/>
  <c r="E162" i="1" s="1"/>
  <c r="D73" i="1"/>
  <c r="D162" i="1" s="1"/>
  <c r="C73" i="1"/>
  <c r="C162" i="1" s="1"/>
  <c r="S72" i="1"/>
  <c r="S151" i="1" s="1"/>
  <c r="R72" i="1"/>
  <c r="R151" i="1" s="1"/>
  <c r="Q72" i="1"/>
  <c r="Q151" i="1" s="1"/>
  <c r="P72" i="1"/>
  <c r="P151" i="1" s="1"/>
  <c r="O72" i="1"/>
  <c r="O151" i="1" s="1"/>
  <c r="N72" i="1"/>
  <c r="N151" i="1" s="1"/>
  <c r="M72" i="1"/>
  <c r="M151" i="1" s="1"/>
  <c r="L72" i="1"/>
  <c r="L151" i="1" s="1"/>
  <c r="K72" i="1"/>
  <c r="K151" i="1" s="1"/>
  <c r="J72" i="1"/>
  <c r="J151" i="1" s="1"/>
  <c r="I72" i="1"/>
  <c r="I151" i="1" s="1"/>
  <c r="H72" i="1"/>
  <c r="H151" i="1" s="1"/>
  <c r="G72" i="1"/>
  <c r="G151" i="1" s="1"/>
  <c r="F72" i="1"/>
  <c r="F151" i="1" s="1"/>
  <c r="E72" i="1"/>
  <c r="E151" i="1" s="1"/>
  <c r="D72" i="1"/>
  <c r="D151" i="1" s="1"/>
  <c r="C72" i="1"/>
  <c r="C151" i="1" s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T71" i="1" s="1"/>
  <c r="U71" i="1" s="1"/>
  <c r="F71" i="1"/>
  <c r="E71" i="1"/>
  <c r="D71" i="1"/>
  <c r="C71" i="1"/>
  <c r="S70" i="1"/>
  <c r="S140" i="1" s="1"/>
  <c r="R70" i="1"/>
  <c r="R140" i="1" s="1"/>
  <c r="Q70" i="1"/>
  <c r="Q140" i="1" s="1"/>
  <c r="P70" i="1"/>
  <c r="P140" i="1" s="1"/>
  <c r="O70" i="1"/>
  <c r="O140" i="1" s="1"/>
  <c r="N70" i="1"/>
  <c r="N140" i="1" s="1"/>
  <c r="M70" i="1"/>
  <c r="M140" i="1" s="1"/>
  <c r="L70" i="1"/>
  <c r="L140" i="1" s="1"/>
  <c r="K70" i="1"/>
  <c r="K140" i="1" s="1"/>
  <c r="J70" i="1"/>
  <c r="J140" i="1" s="1"/>
  <c r="I70" i="1"/>
  <c r="I140" i="1" s="1"/>
  <c r="H70" i="1"/>
  <c r="H140" i="1" s="1"/>
  <c r="G70" i="1"/>
  <c r="F70" i="1"/>
  <c r="F140" i="1" s="1"/>
  <c r="E70" i="1"/>
  <c r="E140" i="1" s="1"/>
  <c r="D70" i="1"/>
  <c r="D140" i="1" s="1"/>
  <c r="C70" i="1"/>
  <c r="S69" i="1"/>
  <c r="S129" i="1" s="1"/>
  <c r="R69" i="1"/>
  <c r="R129" i="1" s="1"/>
  <c r="Q69" i="1"/>
  <c r="Q129" i="1" s="1"/>
  <c r="P69" i="1"/>
  <c r="P129" i="1" s="1"/>
  <c r="O69" i="1"/>
  <c r="O129" i="1" s="1"/>
  <c r="N69" i="1"/>
  <c r="N129" i="1" s="1"/>
  <c r="M69" i="1"/>
  <c r="M129" i="1" s="1"/>
  <c r="L69" i="1"/>
  <c r="L129" i="1" s="1"/>
  <c r="K69" i="1"/>
  <c r="K129" i="1" s="1"/>
  <c r="J69" i="1"/>
  <c r="J129" i="1" s="1"/>
  <c r="I69" i="1"/>
  <c r="I129" i="1" s="1"/>
  <c r="H69" i="1"/>
  <c r="H129" i="1" s="1"/>
  <c r="G69" i="1"/>
  <c r="G129" i="1" s="1"/>
  <c r="F69" i="1"/>
  <c r="F129" i="1" s="1"/>
  <c r="E69" i="1"/>
  <c r="E129" i="1" s="1"/>
  <c r="D69" i="1"/>
  <c r="D129" i="1" s="1"/>
  <c r="C69" i="1"/>
  <c r="C129" i="1" s="1"/>
  <c r="S68" i="1"/>
  <c r="S118" i="1" s="1"/>
  <c r="R68" i="1"/>
  <c r="R118" i="1" s="1"/>
  <c r="Q68" i="1"/>
  <c r="Q118" i="1" s="1"/>
  <c r="P68" i="1"/>
  <c r="P118" i="1" s="1"/>
  <c r="O68" i="1"/>
  <c r="O118" i="1" s="1"/>
  <c r="N68" i="1"/>
  <c r="N118" i="1" s="1"/>
  <c r="M68" i="1"/>
  <c r="L68" i="1"/>
  <c r="K68" i="1"/>
  <c r="K118" i="1" s="1"/>
  <c r="J68" i="1"/>
  <c r="J118" i="1" s="1"/>
  <c r="I68" i="1"/>
  <c r="I118" i="1" s="1"/>
  <c r="H68" i="1"/>
  <c r="H118" i="1" s="1"/>
  <c r="G68" i="1"/>
  <c r="G118" i="1" s="1"/>
  <c r="F68" i="1"/>
  <c r="F118" i="1" s="1"/>
  <c r="E68" i="1"/>
  <c r="D68" i="1"/>
  <c r="D118" i="1" s="1"/>
  <c r="C68" i="1"/>
  <c r="C118" i="1" s="1"/>
  <c r="S67" i="1"/>
  <c r="S107" i="1" s="1"/>
  <c r="R67" i="1"/>
  <c r="R107" i="1" s="1"/>
  <c r="Q67" i="1"/>
  <c r="Q107" i="1" s="1"/>
  <c r="P67" i="1"/>
  <c r="P107" i="1" s="1"/>
  <c r="O67" i="1"/>
  <c r="O107" i="1" s="1"/>
  <c r="N67" i="1"/>
  <c r="N107" i="1" s="1"/>
  <c r="M67" i="1"/>
  <c r="M107" i="1" s="1"/>
  <c r="L67" i="1"/>
  <c r="L107" i="1" s="1"/>
  <c r="K67" i="1"/>
  <c r="K107" i="1" s="1"/>
  <c r="J67" i="1"/>
  <c r="J107" i="1" s="1"/>
  <c r="I67" i="1"/>
  <c r="I107" i="1" s="1"/>
  <c r="H67" i="1"/>
  <c r="H107" i="1" s="1"/>
  <c r="G67" i="1"/>
  <c r="F67" i="1"/>
  <c r="E67" i="1"/>
  <c r="E107" i="1" s="1"/>
  <c r="D67" i="1"/>
  <c r="D107" i="1" s="1"/>
  <c r="C67" i="1"/>
  <c r="C107" i="1" s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C63" i="1"/>
  <c r="G61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T55" i="1" s="1"/>
  <c r="U55" i="1" s="1"/>
  <c r="F55" i="1"/>
  <c r="E55" i="1"/>
  <c r="D55" i="1"/>
  <c r="C55" i="1"/>
  <c r="S54" i="1"/>
  <c r="S172" i="1" s="1"/>
  <c r="R54" i="1"/>
  <c r="R172" i="1" s="1"/>
  <c r="Q54" i="1"/>
  <c r="Q172" i="1" s="1"/>
  <c r="P54" i="1"/>
  <c r="P172" i="1" s="1"/>
  <c r="O54" i="1"/>
  <c r="O172" i="1" s="1"/>
  <c r="N54" i="1"/>
  <c r="N172" i="1" s="1"/>
  <c r="M54" i="1"/>
  <c r="M172" i="1" s="1"/>
  <c r="L54" i="1"/>
  <c r="L172" i="1" s="1"/>
  <c r="K54" i="1"/>
  <c r="K172" i="1" s="1"/>
  <c r="J54" i="1"/>
  <c r="J172" i="1" s="1"/>
  <c r="I54" i="1"/>
  <c r="I172" i="1" s="1"/>
  <c r="H54" i="1"/>
  <c r="G54" i="1"/>
  <c r="G172" i="1" s="1"/>
  <c r="F54" i="1"/>
  <c r="F172" i="1" s="1"/>
  <c r="E54" i="1"/>
  <c r="E172" i="1" s="1"/>
  <c r="D54" i="1"/>
  <c r="C54" i="1"/>
  <c r="C172" i="1" s="1"/>
  <c r="S53" i="1"/>
  <c r="R53" i="1"/>
  <c r="R161" i="1" s="1"/>
  <c r="Q53" i="1"/>
  <c r="Q161" i="1" s="1"/>
  <c r="P53" i="1"/>
  <c r="P161" i="1" s="1"/>
  <c r="O53" i="1"/>
  <c r="O161" i="1" s="1"/>
  <c r="N53" i="1"/>
  <c r="N161" i="1" s="1"/>
  <c r="M53" i="1"/>
  <c r="M161" i="1" s="1"/>
  <c r="L53" i="1"/>
  <c r="L161" i="1" s="1"/>
  <c r="K53" i="1"/>
  <c r="K161" i="1" s="1"/>
  <c r="J53" i="1"/>
  <c r="J161" i="1" s="1"/>
  <c r="I53" i="1"/>
  <c r="I161" i="1" s="1"/>
  <c r="H53" i="1"/>
  <c r="H161" i="1" s="1"/>
  <c r="G53" i="1"/>
  <c r="F53" i="1"/>
  <c r="F161" i="1" s="1"/>
  <c r="E53" i="1"/>
  <c r="E161" i="1" s="1"/>
  <c r="D53" i="1"/>
  <c r="D161" i="1" s="1"/>
  <c r="C53" i="1"/>
  <c r="C161" i="1" s="1"/>
  <c r="S52" i="1"/>
  <c r="S150" i="1" s="1"/>
  <c r="R52" i="1"/>
  <c r="R150" i="1" s="1"/>
  <c r="Q52" i="1"/>
  <c r="Q150" i="1" s="1"/>
  <c r="P52" i="1"/>
  <c r="O52" i="1"/>
  <c r="N52" i="1"/>
  <c r="N150" i="1" s="1"/>
  <c r="M52" i="1"/>
  <c r="M150" i="1" s="1"/>
  <c r="L52" i="1"/>
  <c r="L150" i="1" s="1"/>
  <c r="K52" i="1"/>
  <c r="K150" i="1" s="1"/>
  <c r="J52" i="1"/>
  <c r="J150" i="1" s="1"/>
  <c r="I52" i="1"/>
  <c r="I150" i="1" s="1"/>
  <c r="H52" i="1"/>
  <c r="H150" i="1" s="1"/>
  <c r="G52" i="1"/>
  <c r="G150" i="1" s="1"/>
  <c r="F52" i="1"/>
  <c r="F150" i="1" s="1"/>
  <c r="E52" i="1"/>
  <c r="E150" i="1" s="1"/>
  <c r="D52" i="1"/>
  <c r="D150" i="1" s="1"/>
  <c r="C52" i="1"/>
  <c r="C150" i="1" s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S50" i="1"/>
  <c r="S139" i="1" s="1"/>
  <c r="R50" i="1"/>
  <c r="R139" i="1" s="1"/>
  <c r="Q50" i="1"/>
  <c r="Q139" i="1" s="1"/>
  <c r="P50" i="1"/>
  <c r="P139" i="1" s="1"/>
  <c r="O50" i="1"/>
  <c r="O139" i="1" s="1"/>
  <c r="N50" i="1"/>
  <c r="N139" i="1" s="1"/>
  <c r="M50" i="1"/>
  <c r="M139" i="1" s="1"/>
  <c r="L50" i="1"/>
  <c r="L139" i="1" s="1"/>
  <c r="K50" i="1"/>
  <c r="K139" i="1" s="1"/>
  <c r="J50" i="1"/>
  <c r="J139" i="1" s="1"/>
  <c r="I50" i="1"/>
  <c r="I139" i="1" s="1"/>
  <c r="H50" i="1"/>
  <c r="H139" i="1" s="1"/>
  <c r="G50" i="1"/>
  <c r="T50" i="1" s="1"/>
  <c r="U50" i="1" s="1"/>
  <c r="F50" i="1"/>
  <c r="F139" i="1" s="1"/>
  <c r="E50" i="1"/>
  <c r="E139" i="1" s="1"/>
  <c r="D50" i="1"/>
  <c r="D139" i="1" s="1"/>
  <c r="C50" i="1"/>
  <c r="C139" i="1" s="1"/>
  <c r="S49" i="1"/>
  <c r="S128" i="1" s="1"/>
  <c r="R49" i="1"/>
  <c r="R128" i="1" s="1"/>
  <c r="Q49" i="1"/>
  <c r="P49" i="1"/>
  <c r="P128" i="1" s="1"/>
  <c r="O49" i="1"/>
  <c r="O128" i="1" s="1"/>
  <c r="N49" i="1"/>
  <c r="N128" i="1" s="1"/>
  <c r="M49" i="1"/>
  <c r="M128" i="1" s="1"/>
  <c r="L49" i="1"/>
  <c r="L128" i="1" s="1"/>
  <c r="K49" i="1"/>
  <c r="K128" i="1" s="1"/>
  <c r="J49" i="1"/>
  <c r="J128" i="1" s="1"/>
  <c r="I49" i="1"/>
  <c r="I128" i="1" s="1"/>
  <c r="H49" i="1"/>
  <c r="H128" i="1" s="1"/>
  <c r="G49" i="1"/>
  <c r="G128" i="1" s="1"/>
  <c r="F49" i="1"/>
  <c r="F128" i="1" s="1"/>
  <c r="E49" i="1"/>
  <c r="E128" i="1" s="1"/>
  <c r="D49" i="1"/>
  <c r="D128" i="1" s="1"/>
  <c r="C49" i="1"/>
  <c r="C128" i="1" s="1"/>
  <c r="S48" i="1"/>
  <c r="S117" i="1" s="1"/>
  <c r="R48" i="1"/>
  <c r="R117" i="1" s="1"/>
  <c r="Q48" i="1"/>
  <c r="Q117" i="1" s="1"/>
  <c r="P48" i="1"/>
  <c r="P117" i="1" s="1"/>
  <c r="O48" i="1"/>
  <c r="O117" i="1" s="1"/>
  <c r="N48" i="1"/>
  <c r="N117" i="1" s="1"/>
  <c r="M48" i="1"/>
  <c r="M117" i="1" s="1"/>
  <c r="L48" i="1"/>
  <c r="K48" i="1"/>
  <c r="K117" i="1" s="1"/>
  <c r="J48" i="1"/>
  <c r="J117" i="1" s="1"/>
  <c r="I48" i="1"/>
  <c r="I117" i="1" s="1"/>
  <c r="H48" i="1"/>
  <c r="H117" i="1" s="1"/>
  <c r="G48" i="1"/>
  <c r="G117" i="1" s="1"/>
  <c r="F48" i="1"/>
  <c r="F117" i="1" s="1"/>
  <c r="E48" i="1"/>
  <c r="E117" i="1" s="1"/>
  <c r="D48" i="1"/>
  <c r="D117" i="1" s="1"/>
  <c r="C48" i="1"/>
  <c r="S47" i="1"/>
  <c r="S106" i="1" s="1"/>
  <c r="R47" i="1"/>
  <c r="R106" i="1" s="1"/>
  <c r="Q47" i="1"/>
  <c r="Q106" i="1" s="1"/>
  <c r="P47" i="1"/>
  <c r="P106" i="1" s="1"/>
  <c r="O47" i="1"/>
  <c r="O106" i="1" s="1"/>
  <c r="N47" i="1"/>
  <c r="N106" i="1" s="1"/>
  <c r="M47" i="1"/>
  <c r="M106" i="1" s="1"/>
  <c r="L47" i="1"/>
  <c r="L106" i="1" s="1"/>
  <c r="K47" i="1"/>
  <c r="K106" i="1" s="1"/>
  <c r="J47" i="1"/>
  <c r="J106" i="1" s="1"/>
  <c r="I47" i="1"/>
  <c r="H47" i="1"/>
  <c r="H106" i="1" s="1"/>
  <c r="G47" i="1"/>
  <c r="G106" i="1" s="1"/>
  <c r="F47" i="1"/>
  <c r="F106" i="1" s="1"/>
  <c r="E47" i="1"/>
  <c r="E106" i="1" s="1"/>
  <c r="D47" i="1"/>
  <c r="D106" i="1" s="1"/>
  <c r="C47" i="1"/>
  <c r="C106" i="1" s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T46" i="1" s="1"/>
  <c r="U46" i="1" s="1"/>
  <c r="F46" i="1"/>
  <c r="E46" i="1"/>
  <c r="D46" i="1"/>
  <c r="C46" i="1"/>
  <c r="C43" i="1"/>
  <c r="G41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S36" i="1"/>
  <c r="S171" i="1" s="1"/>
  <c r="R36" i="1"/>
  <c r="R171" i="1" s="1"/>
  <c r="Q36" i="1"/>
  <c r="Q171" i="1" s="1"/>
  <c r="P36" i="1"/>
  <c r="P171" i="1" s="1"/>
  <c r="O36" i="1"/>
  <c r="O171" i="1" s="1"/>
  <c r="N36" i="1"/>
  <c r="N171" i="1" s="1"/>
  <c r="M36" i="1"/>
  <c r="M171" i="1" s="1"/>
  <c r="L36" i="1"/>
  <c r="L171" i="1" s="1"/>
  <c r="K36" i="1"/>
  <c r="K171" i="1" s="1"/>
  <c r="J36" i="1"/>
  <c r="J171" i="1" s="1"/>
  <c r="I36" i="1"/>
  <c r="I171" i="1" s="1"/>
  <c r="H36" i="1"/>
  <c r="H171" i="1" s="1"/>
  <c r="G36" i="1"/>
  <c r="G171" i="1" s="1"/>
  <c r="F36" i="1"/>
  <c r="F171" i="1" s="1"/>
  <c r="E36" i="1"/>
  <c r="E171" i="1" s="1"/>
  <c r="D36" i="1"/>
  <c r="D171" i="1" s="1"/>
  <c r="C36" i="1"/>
  <c r="C171" i="1" s="1"/>
  <c r="S35" i="1"/>
  <c r="S160" i="1" s="1"/>
  <c r="R35" i="1"/>
  <c r="R160" i="1" s="1"/>
  <c r="Q35" i="1"/>
  <c r="Q160" i="1" s="1"/>
  <c r="P35" i="1"/>
  <c r="P160" i="1" s="1"/>
  <c r="O35" i="1"/>
  <c r="O160" i="1" s="1"/>
  <c r="N35" i="1"/>
  <c r="N160" i="1" s="1"/>
  <c r="M35" i="1"/>
  <c r="M160" i="1" s="1"/>
  <c r="L35" i="1"/>
  <c r="L160" i="1" s="1"/>
  <c r="K35" i="1"/>
  <c r="K160" i="1" s="1"/>
  <c r="J35" i="1"/>
  <c r="J160" i="1" s="1"/>
  <c r="I35" i="1"/>
  <c r="I160" i="1" s="1"/>
  <c r="H35" i="1"/>
  <c r="H160" i="1" s="1"/>
  <c r="G35" i="1"/>
  <c r="T35" i="1" s="1"/>
  <c r="U35" i="1" s="1"/>
  <c r="F35" i="1"/>
  <c r="F160" i="1" s="1"/>
  <c r="E35" i="1"/>
  <c r="E160" i="1" s="1"/>
  <c r="D35" i="1"/>
  <c r="D160" i="1" s="1"/>
  <c r="C35" i="1"/>
  <c r="C160" i="1" s="1"/>
  <c r="S34" i="1"/>
  <c r="S149" i="1" s="1"/>
  <c r="R34" i="1"/>
  <c r="R149" i="1" s="1"/>
  <c r="Q34" i="1"/>
  <c r="Q149" i="1" s="1"/>
  <c r="P34" i="1"/>
  <c r="P149" i="1" s="1"/>
  <c r="O34" i="1"/>
  <c r="O149" i="1" s="1"/>
  <c r="N34" i="1"/>
  <c r="N149" i="1" s="1"/>
  <c r="M34" i="1"/>
  <c r="M149" i="1" s="1"/>
  <c r="L34" i="1"/>
  <c r="L149" i="1" s="1"/>
  <c r="K34" i="1"/>
  <c r="K149" i="1" s="1"/>
  <c r="J34" i="1"/>
  <c r="J149" i="1" s="1"/>
  <c r="I34" i="1"/>
  <c r="I149" i="1" s="1"/>
  <c r="H34" i="1"/>
  <c r="H149" i="1" s="1"/>
  <c r="G34" i="1"/>
  <c r="G149" i="1" s="1"/>
  <c r="F34" i="1"/>
  <c r="F149" i="1" s="1"/>
  <c r="E34" i="1"/>
  <c r="E149" i="1" s="1"/>
  <c r="D34" i="1"/>
  <c r="D149" i="1" s="1"/>
  <c r="C34" i="1"/>
  <c r="C149" i="1" s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R138" i="1" s="1"/>
  <c r="Q32" i="1"/>
  <c r="P32" i="1"/>
  <c r="P138" i="1" s="1"/>
  <c r="O32" i="1"/>
  <c r="O138" i="1" s="1"/>
  <c r="N32" i="1"/>
  <c r="N138" i="1" s="1"/>
  <c r="M32" i="1"/>
  <c r="M138" i="1" s="1"/>
  <c r="L32" i="1"/>
  <c r="L138" i="1" s="1"/>
  <c r="K32" i="1"/>
  <c r="K138" i="1" s="1"/>
  <c r="J32" i="1"/>
  <c r="J138" i="1" s="1"/>
  <c r="I32" i="1"/>
  <c r="I138" i="1" s="1"/>
  <c r="H32" i="1"/>
  <c r="H138" i="1" s="1"/>
  <c r="G32" i="1"/>
  <c r="G138" i="1" s="1"/>
  <c r="F32" i="1"/>
  <c r="F138" i="1" s="1"/>
  <c r="E32" i="1"/>
  <c r="E138" i="1" s="1"/>
  <c r="D32" i="1"/>
  <c r="D138" i="1" s="1"/>
  <c r="C32" i="1"/>
  <c r="C138" i="1" s="1"/>
  <c r="S31" i="1"/>
  <c r="S127" i="1" s="1"/>
  <c r="R31" i="1"/>
  <c r="R127" i="1" s="1"/>
  <c r="Q31" i="1"/>
  <c r="Q127" i="1" s="1"/>
  <c r="P31" i="1"/>
  <c r="P127" i="1" s="1"/>
  <c r="O31" i="1"/>
  <c r="O127" i="1" s="1"/>
  <c r="N31" i="1"/>
  <c r="N127" i="1" s="1"/>
  <c r="M31" i="1"/>
  <c r="M127" i="1" s="1"/>
  <c r="L31" i="1"/>
  <c r="L127" i="1" s="1"/>
  <c r="K31" i="1"/>
  <c r="K127" i="1" s="1"/>
  <c r="J31" i="1"/>
  <c r="J127" i="1" s="1"/>
  <c r="I31" i="1"/>
  <c r="I127" i="1" s="1"/>
  <c r="H31" i="1"/>
  <c r="H127" i="1" s="1"/>
  <c r="G31" i="1"/>
  <c r="G127" i="1" s="1"/>
  <c r="F31" i="1"/>
  <c r="F127" i="1" s="1"/>
  <c r="E31" i="1"/>
  <c r="E127" i="1" s="1"/>
  <c r="D31" i="1"/>
  <c r="D127" i="1" s="1"/>
  <c r="C31" i="1"/>
  <c r="C127" i="1" s="1"/>
  <c r="S30" i="1"/>
  <c r="S116" i="1" s="1"/>
  <c r="R30" i="1"/>
  <c r="R116" i="1" s="1"/>
  <c r="Q30" i="1"/>
  <c r="P30" i="1"/>
  <c r="P116" i="1" s="1"/>
  <c r="O30" i="1"/>
  <c r="O116" i="1" s="1"/>
  <c r="N30" i="1"/>
  <c r="N116" i="1" s="1"/>
  <c r="M30" i="1"/>
  <c r="M116" i="1" s="1"/>
  <c r="L30" i="1"/>
  <c r="L116" i="1" s="1"/>
  <c r="K30" i="1"/>
  <c r="K116" i="1" s="1"/>
  <c r="J30" i="1"/>
  <c r="J116" i="1" s="1"/>
  <c r="I30" i="1"/>
  <c r="I116" i="1" s="1"/>
  <c r="H30" i="1"/>
  <c r="G30" i="1"/>
  <c r="G116" i="1" s="1"/>
  <c r="F30" i="1"/>
  <c r="F116" i="1" s="1"/>
  <c r="E30" i="1"/>
  <c r="E116" i="1" s="1"/>
  <c r="D30" i="1"/>
  <c r="D116" i="1" s="1"/>
  <c r="C30" i="1"/>
  <c r="C116" i="1" s="1"/>
  <c r="S29" i="1"/>
  <c r="S105" i="1" s="1"/>
  <c r="R29" i="1"/>
  <c r="R105" i="1" s="1"/>
  <c r="Q29" i="1"/>
  <c r="Q105" i="1" s="1"/>
  <c r="P29" i="1"/>
  <c r="P105" i="1" s="1"/>
  <c r="O29" i="1"/>
  <c r="N29" i="1"/>
  <c r="M29" i="1"/>
  <c r="L29" i="1"/>
  <c r="L105" i="1" s="1"/>
  <c r="K29" i="1"/>
  <c r="K105" i="1" s="1"/>
  <c r="J29" i="1"/>
  <c r="J105" i="1" s="1"/>
  <c r="I29" i="1"/>
  <c r="I105" i="1" s="1"/>
  <c r="H29" i="1"/>
  <c r="H105" i="1" s="1"/>
  <c r="G29" i="1"/>
  <c r="T29" i="1" s="1"/>
  <c r="U29" i="1" s="1"/>
  <c r="F29" i="1"/>
  <c r="F105" i="1" s="1"/>
  <c r="E29" i="1"/>
  <c r="E105" i="1" s="1"/>
  <c r="D29" i="1"/>
  <c r="D105" i="1" s="1"/>
  <c r="C29" i="1"/>
  <c r="C105" i="1" s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C25" i="1"/>
  <c r="G23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T19" i="1" s="1"/>
  <c r="U19" i="1" s="1"/>
  <c r="F19" i="1"/>
  <c r="E19" i="1"/>
  <c r="D19" i="1"/>
  <c r="C19" i="1"/>
  <c r="C134" i="1" s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S170" i="1" s="1"/>
  <c r="R17" i="1"/>
  <c r="R170" i="1" s="1"/>
  <c r="Q17" i="1"/>
  <c r="Q170" i="1" s="1"/>
  <c r="P17" i="1"/>
  <c r="P170" i="1" s="1"/>
  <c r="O17" i="1"/>
  <c r="O170" i="1" s="1"/>
  <c r="N17" i="1"/>
  <c r="N170" i="1" s="1"/>
  <c r="M17" i="1"/>
  <c r="M170" i="1" s="1"/>
  <c r="L17" i="1"/>
  <c r="K17" i="1"/>
  <c r="K170" i="1" s="1"/>
  <c r="J17" i="1"/>
  <c r="J170" i="1" s="1"/>
  <c r="I17" i="1"/>
  <c r="I170" i="1" s="1"/>
  <c r="H17" i="1"/>
  <c r="G17" i="1"/>
  <c r="T17" i="1" s="1"/>
  <c r="U17" i="1" s="1"/>
  <c r="F17" i="1"/>
  <c r="F170" i="1" s="1"/>
  <c r="E17" i="1"/>
  <c r="E170" i="1" s="1"/>
  <c r="D17" i="1"/>
  <c r="D170" i="1" s="1"/>
  <c r="C17" i="1"/>
  <c r="C170" i="1" s="1"/>
  <c r="S16" i="1"/>
  <c r="R16" i="1"/>
  <c r="Q16" i="1"/>
  <c r="P16" i="1"/>
  <c r="O16" i="1"/>
  <c r="N16" i="1"/>
  <c r="N159" i="1" s="1"/>
  <c r="M16" i="1"/>
  <c r="M159" i="1" s="1"/>
  <c r="L16" i="1"/>
  <c r="L159" i="1" s="1"/>
  <c r="K16" i="1"/>
  <c r="K159" i="1" s="1"/>
  <c r="J16" i="1"/>
  <c r="J159" i="1" s="1"/>
  <c r="I16" i="1"/>
  <c r="I159" i="1" s="1"/>
  <c r="H16" i="1"/>
  <c r="H159" i="1" s="1"/>
  <c r="T159" i="1" s="1"/>
  <c r="U159" i="1" s="1"/>
  <c r="G16" i="1"/>
  <c r="G159" i="1" s="1"/>
  <c r="F16" i="1"/>
  <c r="F159" i="1" s="1"/>
  <c r="E16" i="1"/>
  <c r="E159" i="1" s="1"/>
  <c r="D16" i="1"/>
  <c r="D159" i="1" s="1"/>
  <c r="C16" i="1"/>
  <c r="C159" i="1" s="1"/>
  <c r="S15" i="1"/>
  <c r="S148" i="1" s="1"/>
  <c r="R15" i="1"/>
  <c r="R148" i="1" s="1"/>
  <c r="Q15" i="1"/>
  <c r="Q148" i="1" s="1"/>
  <c r="P15" i="1"/>
  <c r="P148" i="1" s="1"/>
  <c r="O15" i="1"/>
  <c r="O148" i="1" s="1"/>
  <c r="N15" i="1"/>
  <c r="N148" i="1" s="1"/>
  <c r="M15" i="1"/>
  <c r="M148" i="1" s="1"/>
  <c r="L15" i="1"/>
  <c r="K15" i="1"/>
  <c r="K148" i="1" s="1"/>
  <c r="J15" i="1"/>
  <c r="J148" i="1" s="1"/>
  <c r="I15" i="1"/>
  <c r="I148" i="1" s="1"/>
  <c r="H15" i="1"/>
  <c r="H148" i="1" s="1"/>
  <c r="G15" i="1"/>
  <c r="G148" i="1" s="1"/>
  <c r="F15" i="1"/>
  <c r="F148" i="1" s="1"/>
  <c r="E15" i="1"/>
  <c r="E148" i="1" s="1"/>
  <c r="D15" i="1"/>
  <c r="D148" i="1" s="1"/>
  <c r="C15" i="1"/>
  <c r="C148" i="1" s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S137" i="1" s="1"/>
  <c r="R13" i="1"/>
  <c r="R137" i="1" s="1"/>
  <c r="Q13" i="1"/>
  <c r="Q137" i="1" s="1"/>
  <c r="P13" i="1"/>
  <c r="P137" i="1" s="1"/>
  <c r="O13" i="1"/>
  <c r="O137" i="1" s="1"/>
  <c r="N13" i="1"/>
  <c r="N137" i="1" s="1"/>
  <c r="M13" i="1"/>
  <c r="M137" i="1" s="1"/>
  <c r="L13" i="1"/>
  <c r="L137" i="1" s="1"/>
  <c r="K13" i="1"/>
  <c r="K137" i="1" s="1"/>
  <c r="J13" i="1"/>
  <c r="J137" i="1" s="1"/>
  <c r="I13" i="1"/>
  <c r="I137" i="1" s="1"/>
  <c r="H13" i="1"/>
  <c r="H137" i="1" s="1"/>
  <c r="G13" i="1"/>
  <c r="G137" i="1" s="1"/>
  <c r="F13" i="1"/>
  <c r="F137" i="1" s="1"/>
  <c r="E13" i="1"/>
  <c r="E137" i="1" s="1"/>
  <c r="D13" i="1"/>
  <c r="D137" i="1" s="1"/>
  <c r="C13" i="1"/>
  <c r="C137" i="1" s="1"/>
  <c r="S12" i="1"/>
  <c r="R12" i="1"/>
  <c r="Q12" i="1"/>
  <c r="Q126" i="1" s="1"/>
  <c r="P12" i="1"/>
  <c r="P126" i="1" s="1"/>
  <c r="O12" i="1"/>
  <c r="O126" i="1" s="1"/>
  <c r="N12" i="1"/>
  <c r="N126" i="1" s="1"/>
  <c r="M12" i="1"/>
  <c r="M126" i="1" s="1"/>
  <c r="L12" i="1"/>
  <c r="L126" i="1" s="1"/>
  <c r="K12" i="1"/>
  <c r="K126" i="1" s="1"/>
  <c r="J12" i="1"/>
  <c r="J126" i="1" s="1"/>
  <c r="I12" i="1"/>
  <c r="I126" i="1" s="1"/>
  <c r="H12" i="1"/>
  <c r="H126" i="1" s="1"/>
  <c r="G12" i="1"/>
  <c r="G126" i="1" s="1"/>
  <c r="F12" i="1"/>
  <c r="F126" i="1" s="1"/>
  <c r="E12" i="1"/>
  <c r="E126" i="1" s="1"/>
  <c r="D12" i="1"/>
  <c r="D126" i="1" s="1"/>
  <c r="C12" i="1"/>
  <c r="S11" i="1"/>
  <c r="S115" i="1" s="1"/>
  <c r="R11" i="1"/>
  <c r="R115" i="1" s="1"/>
  <c r="Q11" i="1"/>
  <c r="Q115" i="1" s="1"/>
  <c r="P11" i="1"/>
  <c r="O11" i="1"/>
  <c r="N11" i="1"/>
  <c r="M11" i="1"/>
  <c r="M115" i="1" s="1"/>
  <c r="L11" i="1"/>
  <c r="L115" i="1" s="1"/>
  <c r="K11" i="1"/>
  <c r="K115" i="1" s="1"/>
  <c r="J11" i="1"/>
  <c r="J115" i="1" s="1"/>
  <c r="I11" i="1"/>
  <c r="I115" i="1" s="1"/>
  <c r="H11" i="1"/>
  <c r="H115" i="1" s="1"/>
  <c r="G11" i="1"/>
  <c r="F11" i="1"/>
  <c r="F115" i="1" s="1"/>
  <c r="E11" i="1"/>
  <c r="E115" i="1" s="1"/>
  <c r="D11" i="1"/>
  <c r="C11" i="1"/>
  <c r="C115" i="1" s="1"/>
  <c r="S10" i="1"/>
  <c r="S104" i="1" s="1"/>
  <c r="R10" i="1"/>
  <c r="R104" i="1" s="1"/>
  <c r="Q10" i="1"/>
  <c r="Q104" i="1" s="1"/>
  <c r="P10" i="1"/>
  <c r="P104" i="1" s="1"/>
  <c r="O10" i="1"/>
  <c r="O104" i="1" s="1"/>
  <c r="N10" i="1"/>
  <c r="N104" i="1" s="1"/>
  <c r="M10" i="1"/>
  <c r="M104" i="1" s="1"/>
  <c r="L10" i="1"/>
  <c r="L104" i="1" s="1"/>
  <c r="K10" i="1"/>
  <c r="K104" i="1" s="1"/>
  <c r="J10" i="1"/>
  <c r="J104" i="1" s="1"/>
  <c r="I10" i="1"/>
  <c r="I104" i="1" s="1"/>
  <c r="H10" i="1"/>
  <c r="H104" i="1" s="1"/>
  <c r="G10" i="1"/>
  <c r="G104" i="1" s="1"/>
  <c r="F10" i="1"/>
  <c r="F104" i="1" s="1"/>
  <c r="E10" i="1"/>
  <c r="E104" i="1" s="1"/>
  <c r="D10" i="1"/>
  <c r="D104" i="1" s="1"/>
  <c r="C10" i="1"/>
  <c r="C104" i="1" s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T127" i="1" l="1"/>
  <c r="U127" i="1" s="1"/>
  <c r="T38" i="1"/>
  <c r="U38" i="1" s="1"/>
  <c r="T162" i="1"/>
  <c r="U162" i="1" s="1"/>
  <c r="T117" i="1"/>
  <c r="U117" i="1" s="1"/>
  <c r="G163" i="1"/>
  <c r="T163" i="1" s="1"/>
  <c r="U163" i="1" s="1"/>
  <c r="T84" i="1"/>
  <c r="U84" i="1" s="1"/>
  <c r="B161" i="1"/>
  <c r="T107" i="1"/>
  <c r="U107" i="1" s="1"/>
  <c r="T130" i="1"/>
  <c r="U130" i="1" s="1"/>
  <c r="T39" i="1"/>
  <c r="U39" i="1" s="1"/>
  <c r="T106" i="1"/>
  <c r="U106" i="1" s="1"/>
  <c r="T89" i="1"/>
  <c r="U89" i="1" s="1"/>
  <c r="T150" i="1"/>
  <c r="U150" i="1" s="1"/>
  <c r="T87" i="1"/>
  <c r="U87" i="1" s="1"/>
  <c r="T93" i="1"/>
  <c r="U93" i="1" s="1"/>
  <c r="T141" i="1"/>
  <c r="U141" i="1" s="1"/>
  <c r="T94" i="1"/>
  <c r="U94" i="1" s="1"/>
  <c r="T152" i="1"/>
  <c r="U152" i="1" s="1"/>
  <c r="T95" i="1"/>
  <c r="U95" i="1" s="1"/>
  <c r="T118" i="1"/>
  <c r="U118" i="1" s="1"/>
  <c r="T67" i="1"/>
  <c r="U67" i="1" s="1"/>
  <c r="T72" i="1"/>
  <c r="U72" i="1" s="1"/>
  <c r="T77" i="1"/>
  <c r="U77" i="1" s="1"/>
  <c r="T54" i="1"/>
  <c r="U54" i="1" s="1"/>
  <c r="T57" i="1"/>
  <c r="U57" i="1" s="1"/>
  <c r="G139" i="1"/>
  <c r="T139" i="1" s="1"/>
  <c r="U139" i="1" s="1"/>
  <c r="T48" i="1"/>
  <c r="U48" i="1" s="1"/>
  <c r="H172" i="1"/>
  <c r="T51" i="1"/>
  <c r="U51" i="1" s="1"/>
  <c r="T56" i="1"/>
  <c r="U56" i="1" s="1"/>
  <c r="T138" i="1"/>
  <c r="U138" i="1" s="1"/>
  <c r="T30" i="1"/>
  <c r="U30" i="1" s="1"/>
  <c r="G105" i="1"/>
  <c r="T105" i="1" s="1"/>
  <c r="U105" i="1" s="1"/>
  <c r="H116" i="1"/>
  <c r="T116" i="1" s="1"/>
  <c r="U116" i="1" s="1"/>
  <c r="T33" i="1"/>
  <c r="U33" i="1" s="1"/>
  <c r="T126" i="1"/>
  <c r="U126" i="1" s="1"/>
  <c r="T104" i="1"/>
  <c r="U104" i="1" s="1"/>
  <c r="B116" i="1"/>
  <c r="T148" i="1"/>
  <c r="U148" i="1" s="1"/>
  <c r="T20" i="1"/>
  <c r="U20" i="1" s="1"/>
  <c r="B160" i="1"/>
  <c r="B163" i="1"/>
  <c r="G170" i="1"/>
  <c r="T170" i="1" s="1"/>
  <c r="U170" i="1" s="1"/>
  <c r="T137" i="1"/>
  <c r="U137" i="1" s="1"/>
  <c r="T18" i="1"/>
  <c r="U18" i="1" s="1"/>
  <c r="T11" i="1"/>
  <c r="U11" i="1" s="1"/>
  <c r="B118" i="1"/>
  <c r="T66" i="1"/>
  <c r="U66" i="1" s="1"/>
  <c r="T9" i="1"/>
  <c r="U9" i="1" s="1"/>
  <c r="T16" i="1"/>
  <c r="U16" i="1" s="1"/>
  <c r="T34" i="1"/>
  <c r="U34" i="1" s="1"/>
  <c r="T88" i="1"/>
  <c r="U88" i="1" s="1"/>
  <c r="T90" i="1"/>
  <c r="U90" i="1" s="1"/>
  <c r="B150" i="1"/>
  <c r="B149" i="1"/>
  <c r="T69" i="1"/>
  <c r="U69" i="1" s="1"/>
  <c r="B174" i="1"/>
  <c r="B171" i="1"/>
  <c r="T171" i="1"/>
  <c r="U171" i="1" s="1"/>
  <c r="B130" i="1"/>
  <c r="B129" i="1"/>
  <c r="B127" i="1"/>
  <c r="T31" i="1"/>
  <c r="U31" i="1" s="1"/>
  <c r="T73" i="1"/>
  <c r="U73" i="1" s="1"/>
  <c r="G119" i="1"/>
  <c r="T119" i="1" s="1"/>
  <c r="U119" i="1" s="1"/>
  <c r="T15" i="1"/>
  <c r="U15" i="1" s="1"/>
  <c r="G115" i="1"/>
  <c r="T115" i="1" s="1"/>
  <c r="U115" i="1" s="1"/>
  <c r="T13" i="1"/>
  <c r="U13" i="1" s="1"/>
  <c r="T108" i="1"/>
  <c r="U108" i="1" s="1"/>
  <c r="T85" i="1"/>
  <c r="U85" i="1" s="1"/>
  <c r="T174" i="1"/>
  <c r="U174" i="1" s="1"/>
  <c r="T47" i="1"/>
  <c r="U47" i="1" s="1"/>
  <c r="T49" i="1"/>
  <c r="U49" i="1" s="1"/>
  <c r="T53" i="1"/>
  <c r="U53" i="1" s="1"/>
  <c r="G161" i="1"/>
  <c r="T161" i="1" s="1"/>
  <c r="U161" i="1" s="1"/>
  <c r="T68" i="1"/>
  <c r="U68" i="1" s="1"/>
  <c r="B152" i="1"/>
  <c r="B172" i="1"/>
  <c r="T76" i="1"/>
  <c r="U76" i="1" s="1"/>
  <c r="B151" i="1"/>
  <c r="T28" i="1"/>
  <c r="U28" i="1" s="1"/>
  <c r="G173" i="1"/>
  <c r="T173" i="1" s="1"/>
  <c r="U173" i="1" s="1"/>
  <c r="T74" i="1"/>
  <c r="U74" i="1" s="1"/>
  <c r="T92" i="1"/>
  <c r="U92" i="1" s="1"/>
  <c r="T129" i="1"/>
  <c r="U129" i="1" s="1"/>
  <c r="B173" i="1"/>
  <c r="T128" i="1"/>
  <c r="U128" i="1" s="1"/>
  <c r="T32" i="1"/>
  <c r="U32" i="1" s="1"/>
  <c r="T149" i="1"/>
  <c r="U149" i="1" s="1"/>
  <c r="T36" i="1"/>
  <c r="U36" i="1" s="1"/>
  <c r="B141" i="1"/>
  <c r="B140" i="1"/>
  <c r="B139" i="1"/>
  <c r="T151" i="1"/>
  <c r="U151" i="1" s="1"/>
  <c r="T172" i="1"/>
  <c r="U172" i="1" s="1"/>
  <c r="G160" i="1"/>
  <c r="T160" i="1" s="1"/>
  <c r="U160" i="1" s="1"/>
  <c r="T10" i="1"/>
  <c r="U10" i="1" s="1"/>
  <c r="B119" i="1"/>
  <c r="T12" i="1"/>
  <c r="U12" i="1" s="1"/>
  <c r="T14" i="1"/>
  <c r="U14" i="1" s="1"/>
  <c r="T52" i="1"/>
  <c r="U52" i="1" s="1"/>
  <c r="T37" i="1"/>
  <c r="U37" i="1" s="1"/>
  <c r="G140" i="1"/>
  <c r="T140" i="1" s="1"/>
  <c r="U140" i="1" s="1"/>
  <c r="T70" i="1"/>
  <c r="U70" i="1" s="1"/>
</calcChain>
</file>

<file path=xl/sharedStrings.xml><?xml version="1.0" encoding="utf-8"?>
<sst xmlns="http://schemas.openxmlformats.org/spreadsheetml/2006/main" count="528" uniqueCount="67">
  <si>
    <t>SYYTTÄJÄT</t>
  </si>
  <si>
    <t>ÅKLAGARNA</t>
  </si>
  <si>
    <t>0 - 6 vuotta 11 kuukautta kokemusta (ei kokemusosa %)</t>
  </si>
  <si>
    <t>0 - 6 år 11 månaders erfarenhet (ingen erfarenhetsdel %)</t>
  </si>
  <si>
    <t>Tehtävän vaativuus-taso/ Uppgiftens kravnivå</t>
  </si>
  <si>
    <t>Tehtävän mukainen palkan-osa/ Uppgiftsrelaterad lönedel</t>
  </si>
  <si>
    <t>Suorituspisteet ja suoritustasot / Prestationspoäng och prestationsnivå</t>
  </si>
  <si>
    <t>Palkkaus keskim suoritustasoilla 8-11 x 12 kk</t>
  </si>
  <si>
    <t>taso/ nivå 4</t>
  </si>
  <si>
    <t>taso 5</t>
  </si>
  <si>
    <t>taso 6</t>
  </si>
  <si>
    <t>taso 7</t>
  </si>
  <si>
    <t>taso 8</t>
  </si>
  <si>
    <t>taso 9</t>
  </si>
  <si>
    <t>taso 10</t>
  </si>
  <si>
    <t>taso 11</t>
  </si>
  <si>
    <t>taso 12</t>
  </si>
  <si>
    <t>taso 13</t>
  </si>
  <si>
    <t>taso 14</t>
  </si>
  <si>
    <t>taso 15</t>
  </si>
  <si>
    <t>taso 16</t>
  </si>
  <si>
    <t>taso 17</t>
  </si>
  <si>
    <t>taso 18</t>
  </si>
  <si>
    <t>taso 19</t>
  </si>
  <si>
    <t>taso 20</t>
  </si>
  <si>
    <t>6-6,9 p. (8,1%)</t>
  </si>
  <si>
    <t>7-7,9 p. (10,2%)</t>
  </si>
  <si>
    <t>8-8,9 p. (12,4%)</t>
  </si>
  <si>
    <t>9-9,4 p. (14,5%)</t>
  </si>
  <si>
    <t>9,5-9,9 p (16,4 %)</t>
  </si>
  <si>
    <t>10-10,4 p. (17,7%)</t>
  </si>
  <si>
    <t>10,5-10,9 p (19%)</t>
  </si>
  <si>
    <t>11-11,4 p. (20,3%)</t>
  </si>
  <si>
    <t>11,5-11,9 p. (21,6%)</t>
  </si>
  <si>
    <t>12-12,4 p. (22,9%)</t>
  </si>
  <si>
    <t>12,5-12,9 p. (24,2%)</t>
  </si>
  <si>
    <t>13-13,4 p. (25,5%)</t>
  </si>
  <si>
    <t>13,5-13,9 p. (26,8%)</t>
  </si>
  <si>
    <t>14-14,4 p. (28,1%)</t>
  </si>
  <si>
    <t>14,5-14,9 p. (29,2%)</t>
  </si>
  <si>
    <t>15-15,4 p. (30%)</t>
  </si>
  <si>
    <t>15,5-15,9 p. (30,8%)</t>
  </si>
  <si>
    <t>Keskimäärin suoritustasoilla 8-11</t>
  </si>
  <si>
    <t>Vuodessa</t>
  </si>
  <si>
    <t>7 - 12 vuotta 11 kuukautta kokemusta (kokemusosa 4 %)</t>
  </si>
  <si>
    <t>13 - 17 vuotta 11 kuukautta kokemusta (kokemusosa 7 %)</t>
  </si>
  <si>
    <t>18 - 22 vuotta 11 kuukautta kokemusta (kokemusosa 12 %)</t>
  </si>
  <si>
    <t>väh. 23 vuotta kokemusta (kokemusosa 16 %)</t>
  </si>
  <si>
    <t>Syyttäjät</t>
  </si>
  <si>
    <t>vaativuustaso 11</t>
  </si>
  <si>
    <t>0-6 v 11 kk</t>
  </si>
  <si>
    <t>7v - 12 v 11 kk</t>
  </si>
  <si>
    <t>13 v - 17 v 11 kk</t>
  </si>
  <si>
    <t>18 v - 22 v 11 kk</t>
  </si>
  <si>
    <t>23 v</t>
  </si>
  <si>
    <t>vaativuustaso 12</t>
  </si>
  <si>
    <t>vaativuustaso 13</t>
  </si>
  <si>
    <t>vaativuustaso 14</t>
  </si>
  <si>
    <t>kravnivå 14</t>
  </si>
  <si>
    <t>vaativuustaso 16</t>
  </si>
  <si>
    <t>vaativuustaso 17</t>
  </si>
  <si>
    <t>kravnivå 17</t>
  </si>
  <si>
    <t>vaativuustaso 18</t>
  </si>
  <si>
    <t>kravnivå 18</t>
  </si>
  <si>
    <t>YHDISTELMÄ PALKKATAULUKKO 1.10.2026</t>
  </si>
  <si>
    <t>SAMMANSATT LÖNETABELL 1.10.2026</t>
  </si>
  <si>
    <t>päivitys 10.6.2026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</si>
</sst>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0" borderId="0" xfId="0" applyFont="1"/>
    <xf numFmtId="0" fontId="1" fillId="0" borderId="0" xfId="0" applyFont="1"/>
    <xf numFmtId="14" fontId="1" fillId="0" borderId="0" xfId="0" applyNumberFormat="1" applyFont="1"/>
    <xf numFmtId="4" fontId="2" fillId="0" borderId="0" xfId="0" applyNumberFormat="1" applyFont="1"/>
    <xf numFmtId="0" fontId="4" fillId="0" borderId="0" xfId="0" applyFont="1"/>
    <xf numFmtId="0" fontId="1" fillId="2" borderId="1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3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/>
    </xf>
    <xf numFmtId="1" fontId="2" fillId="0" borderId="12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center"/>
    </xf>
    <xf numFmtId="1" fontId="2" fillId="0" borderId="16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/>
    </xf>
    <xf numFmtId="4" fontId="2" fillId="0" borderId="22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23" xfId="0" applyFont="1" applyBorder="1"/>
    <xf numFmtId="4" fontId="2" fillId="0" borderId="12" xfId="0" applyNumberFormat="1" applyFont="1" applyBorder="1"/>
    <xf numFmtId="0" fontId="2" fillId="0" borderId="4" xfId="0" applyFont="1" applyBorder="1"/>
    <xf numFmtId="4" fontId="2" fillId="0" borderId="16" xfId="0" applyNumberFormat="1" applyFont="1" applyBorder="1"/>
    <xf numFmtId="4" fontId="1" fillId="0" borderId="0" xfId="0" applyNumberFormat="1" applyFont="1" applyAlignment="1">
      <alignment horizontal="center"/>
    </xf>
    <xf numFmtId="0" fontId="2" fillId="0" borderId="7" xfId="0" applyFont="1" applyBorder="1"/>
    <xf numFmtId="4" fontId="2" fillId="0" borderId="22" xfId="0" applyNumberFormat="1" applyFont="1" applyBorder="1"/>
    <xf numFmtId="0" fontId="2" fillId="0" borderId="12" xfId="0" applyFont="1" applyBorder="1"/>
    <xf numFmtId="0" fontId="2" fillId="0" borderId="16" xfId="0" applyFont="1" applyBorder="1"/>
    <xf numFmtId="4" fontId="2" fillId="0" borderId="6" xfId="0" applyNumberFormat="1" applyFont="1" applyBorder="1"/>
    <xf numFmtId="4" fontId="2" fillId="0" borderId="23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2" fillId="0" borderId="16" xfId="0" applyNumberFormat="1" applyFont="1" applyBorder="1" applyAlignment="1">
      <alignment horizontal="center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0" borderId="23" xfId="0" applyFont="1" applyBorder="1"/>
    <xf numFmtId="0" fontId="2" fillId="0" borderId="0" xfId="0" applyFont="1"/>
    <xf numFmtId="0" fontId="1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/>
    <xf numFmtId="0" fontId="2" fillId="0" borderId="5" xfId="0" applyFont="1" applyBorder="1"/>
    <xf numFmtId="0" fontId="2" fillId="0" borderId="6" xfId="0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OH9010\8%20Hallinto\VKST\Hallinto%20johto\Ves-asiat\Palkkataulukot%20syytt&#228;j&#228;%20ja%20toimisto\Syytt&#228;j&#228;t\Palkkataulukko%2001072025\Yhdistelm&#228;taulukko%20syytt&#228;j&#228;t%201.7.2025%20laskelma.xlsx" TargetMode="External"/><Relationship Id="rId1" Type="http://schemas.openxmlformats.org/officeDocument/2006/relationships/externalLinkPath" Target="Yhdistelm&#228;taulukko%20syytt&#228;j&#228;t%201.7.2025%20laskel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ul1"/>
      <sheetName val="01032012"/>
      <sheetName val="01082014 tarkentava ves"/>
      <sheetName val="01082015 "/>
      <sheetName val="01082015 yleiskorotus 0,4"/>
      <sheetName val="01022016 yleiskorotus"/>
      <sheetName val="01042018 yleiskorotus"/>
      <sheetName val="01092018 "/>
      <sheetName val="01042019"/>
      <sheetName val="01082020"/>
      <sheetName val="01062021"/>
      <sheetName val="01062022"/>
      <sheetName val="01052023"/>
      <sheetName val="01032024"/>
      <sheetName val="01072025"/>
    </sheetNames>
    <sheetDataSet>
      <sheetData sheetId="0"/>
      <sheetData sheetId="1"/>
      <sheetData sheetId="2">
        <row r="27">
          <cell r="G27" t="str">
            <v>7 - 12 år 11 månaders erfarenhet (erfarenhetsdel 4 %)</v>
          </cell>
        </row>
        <row r="53">
          <cell r="G53" t="str">
            <v>13 - 17 år 11 månaders erfarenhet (erfarenhetsdel 7 %)</v>
          </cell>
        </row>
        <row r="72">
          <cell r="G72" t="str">
            <v>18 - 22 år 11 månaders erfarenhet (erfarenhetsdel 12 %)</v>
          </cell>
        </row>
        <row r="92">
          <cell r="G92" t="str">
            <v>minst 23 års erfarenhet (erfarenhetsdel 16 %)</v>
          </cell>
        </row>
        <row r="116">
          <cell r="G116" t="str">
            <v>kravnivå 11</v>
          </cell>
        </row>
        <row r="129">
          <cell r="G129" t="str">
            <v>kravnivå 12</v>
          </cell>
        </row>
        <row r="142">
          <cell r="G142" t="str">
            <v>kravnivå 13</v>
          </cell>
        </row>
        <row r="155">
          <cell r="G155" t="str">
            <v>kravnivå 16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85D0-DE72-42E6-9113-14DB4E86AD77}">
  <dimension ref="A1:U174"/>
  <sheetViews>
    <sheetView tabSelected="1" view="pageBreakPreview" topLeftCell="A124" zoomScale="55" zoomScaleNormal="60" zoomScaleSheetLayoutView="55" workbookViewId="0">
      <selection activeCell="N3" sqref="N3"/>
    </sheetView>
  </sheetViews>
  <sheetFormatPr defaultColWidth="9.21875" defaultRowHeight="13.8" x14ac:dyDescent="0.3"/>
  <cols>
    <col min="1" max="1" width="10.5546875" style="1" customWidth="1"/>
    <col min="2" max="2" width="10.21875" style="1" customWidth="1"/>
    <col min="3" max="3" width="9.33203125" style="1" customWidth="1"/>
    <col min="4" max="4" width="10.77734375" style="1" customWidth="1"/>
    <col min="5" max="5" width="10" style="1" customWidth="1"/>
    <col min="6" max="6" width="9.109375" style="1" customWidth="1"/>
    <col min="7" max="9" width="9.77734375" style="1" customWidth="1"/>
    <col min="10" max="10" width="10" style="1" customWidth="1"/>
    <col min="11" max="11" width="9.33203125" style="1" customWidth="1"/>
    <col min="12" max="12" width="9.5546875" style="1" customWidth="1"/>
    <col min="13" max="13" width="10" style="1" customWidth="1"/>
    <col min="14" max="14" width="9.77734375" style="1" customWidth="1"/>
    <col min="15" max="15" width="10.21875" style="1" customWidth="1"/>
    <col min="16" max="16" width="9.33203125" style="1" customWidth="1"/>
    <col min="17" max="17" width="9.109375" style="1" customWidth="1"/>
    <col min="18" max="18" width="9.77734375" style="1" customWidth="1"/>
    <col min="19" max="19" width="10" style="1" customWidth="1"/>
    <col min="20" max="20" width="11.77734375" style="1" customWidth="1"/>
    <col min="21" max="21" width="11" style="1" customWidth="1"/>
    <col min="22" max="16384" width="9.21875" style="1"/>
  </cols>
  <sheetData>
    <row r="1" spans="1:21" x14ac:dyDescent="0.3">
      <c r="A1" s="57" t="s">
        <v>64</v>
      </c>
      <c r="B1" s="58"/>
      <c r="C1" s="58"/>
      <c r="D1" s="58"/>
      <c r="E1" s="58"/>
      <c r="F1" s="59"/>
      <c r="G1" s="57" t="s">
        <v>65</v>
      </c>
      <c r="H1" s="58"/>
      <c r="I1" s="58"/>
      <c r="J1" s="58"/>
      <c r="K1" s="58"/>
      <c r="L1" s="59"/>
    </row>
    <row r="2" spans="1:21" ht="18" x14ac:dyDescent="0.35">
      <c r="A2" s="2" t="s">
        <v>0</v>
      </c>
      <c r="B2" s="3"/>
      <c r="C2" s="3"/>
      <c r="D2" s="3"/>
      <c r="E2" s="3"/>
      <c r="F2" s="4"/>
      <c r="G2" s="60" t="s">
        <v>1</v>
      </c>
      <c r="H2" s="61"/>
      <c r="I2" s="61"/>
      <c r="J2" s="61"/>
      <c r="K2" s="61"/>
      <c r="L2" s="62"/>
      <c r="N2" s="1" t="s">
        <v>66</v>
      </c>
      <c r="P2" s="5"/>
    </row>
    <row r="3" spans="1:21" ht="13.05" x14ac:dyDescent="0.3"/>
    <row r="4" spans="1:21" s="6" customFormat="1" ht="13.05" customHeight="1" x14ac:dyDescent="0.3">
      <c r="A4" s="6" t="s">
        <v>2</v>
      </c>
      <c r="G4" s="6" t="s">
        <v>3</v>
      </c>
      <c r="L4" s="7"/>
    </row>
    <row r="5" spans="1:21" ht="18.75" customHeight="1" thickBot="1" x14ac:dyDescent="0.35">
      <c r="F5" s="8"/>
      <c r="H5" s="9"/>
    </row>
    <row r="6" spans="1:21" ht="33" customHeight="1" x14ac:dyDescent="0.3">
      <c r="A6" s="45" t="s">
        <v>4</v>
      </c>
      <c r="B6" s="45" t="s">
        <v>5</v>
      </c>
      <c r="C6" s="51" t="s">
        <v>6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39" t="s">
        <v>7</v>
      </c>
      <c r="U6" s="40"/>
    </row>
    <row r="7" spans="1:21" ht="16.5" customHeight="1" thickBot="1" x14ac:dyDescent="0.35">
      <c r="A7" s="46"/>
      <c r="B7" s="46"/>
      <c r="C7" s="10" t="s">
        <v>8</v>
      </c>
      <c r="D7" s="11" t="s">
        <v>9</v>
      </c>
      <c r="E7" s="10" t="s">
        <v>10</v>
      </c>
      <c r="F7" s="11" t="s">
        <v>11</v>
      </c>
      <c r="G7" s="10" t="s">
        <v>12</v>
      </c>
      <c r="H7" s="11" t="s">
        <v>13</v>
      </c>
      <c r="I7" s="10" t="s">
        <v>14</v>
      </c>
      <c r="J7" s="11" t="s">
        <v>15</v>
      </c>
      <c r="K7" s="10" t="s">
        <v>16</v>
      </c>
      <c r="L7" s="11" t="s">
        <v>17</v>
      </c>
      <c r="M7" s="10" t="s">
        <v>18</v>
      </c>
      <c r="N7" s="11" t="s">
        <v>19</v>
      </c>
      <c r="O7" s="10" t="s">
        <v>20</v>
      </c>
      <c r="P7" s="11" t="s">
        <v>21</v>
      </c>
      <c r="Q7" s="10" t="s">
        <v>22</v>
      </c>
      <c r="R7" s="11" t="s">
        <v>23</v>
      </c>
      <c r="S7" s="10" t="s">
        <v>24</v>
      </c>
      <c r="T7" s="43"/>
      <c r="U7" s="44"/>
    </row>
    <row r="8" spans="1:21" ht="68.400000000000006" customHeight="1" x14ac:dyDescent="0.3">
      <c r="A8" s="47"/>
      <c r="B8" s="47"/>
      <c r="C8" s="12" t="s">
        <v>25</v>
      </c>
      <c r="D8" s="13" t="s">
        <v>26</v>
      </c>
      <c r="E8" s="12" t="s">
        <v>27</v>
      </c>
      <c r="F8" s="13" t="s">
        <v>28</v>
      </c>
      <c r="G8" s="12" t="s">
        <v>29</v>
      </c>
      <c r="H8" s="13" t="s">
        <v>30</v>
      </c>
      <c r="I8" s="12" t="s">
        <v>31</v>
      </c>
      <c r="J8" s="13" t="s">
        <v>32</v>
      </c>
      <c r="K8" s="12" t="s">
        <v>33</v>
      </c>
      <c r="L8" s="13" t="s">
        <v>34</v>
      </c>
      <c r="M8" s="12" t="s">
        <v>35</v>
      </c>
      <c r="N8" s="13" t="s">
        <v>36</v>
      </c>
      <c r="O8" s="12" t="s">
        <v>37</v>
      </c>
      <c r="P8" s="13" t="s">
        <v>38</v>
      </c>
      <c r="Q8" s="12" t="s">
        <v>39</v>
      </c>
      <c r="R8" s="13" t="s">
        <v>40</v>
      </c>
      <c r="S8" s="14" t="s">
        <v>41</v>
      </c>
      <c r="T8" s="15" t="s">
        <v>42</v>
      </c>
      <c r="U8" s="16" t="s">
        <v>43</v>
      </c>
    </row>
    <row r="9" spans="1:21" x14ac:dyDescent="0.3">
      <c r="A9" s="17">
        <v>10</v>
      </c>
      <c r="B9" s="18">
        <v>3742.2670499999999</v>
      </c>
      <c r="C9" s="18">
        <f>SUM(B9*1.081)</f>
        <v>4045.3906810499998</v>
      </c>
      <c r="D9" s="18">
        <f>SUM(B9*1.102)</f>
        <v>4123.9782891000004</v>
      </c>
      <c r="E9" s="18">
        <f>SUM(B9*1.124)</f>
        <v>4206.3081642000006</v>
      </c>
      <c r="F9" s="18">
        <f>SUM(B9*1.145)</f>
        <v>4284.8957722499999</v>
      </c>
      <c r="G9" s="18">
        <f t="shared" ref="G9:G20" si="0">SUM(B9*1.164)</f>
        <v>4355.9988461999992</v>
      </c>
      <c r="H9" s="18">
        <f t="shared" ref="H9:H20" si="1">SUM(B9*1.177)</f>
        <v>4404.6483178500002</v>
      </c>
      <c r="I9" s="18">
        <f t="shared" ref="I9:I20" si="2">SUM(B9*1.19)</f>
        <v>4453.2977894999995</v>
      </c>
      <c r="J9" s="18">
        <f t="shared" ref="J9:J20" si="3">SUM(B9*1.203)</f>
        <v>4501.9472611500005</v>
      </c>
      <c r="K9" s="18">
        <f t="shared" ref="K9:K20" si="4">SUM(B9*1.216)</f>
        <v>4550.5967327999997</v>
      </c>
      <c r="L9" s="18">
        <f t="shared" ref="L9:L20" si="5">SUM(B9*1.229)</f>
        <v>4599.2462044499998</v>
      </c>
      <c r="M9" s="18">
        <f t="shared" ref="M9:M20" si="6">SUM(B9*1.242)</f>
        <v>4647.8956760999999</v>
      </c>
      <c r="N9" s="18">
        <f t="shared" ref="N9:N20" si="7">SUM(B9*1.255)</f>
        <v>4696.5451477499992</v>
      </c>
      <c r="O9" s="18">
        <f t="shared" ref="O9:O20" si="8">SUM(B9*1.268)</f>
        <v>4745.1946194000002</v>
      </c>
      <c r="P9" s="18">
        <f t="shared" ref="P9:P20" si="9">SUM(B9*1.281)</f>
        <v>4793.8440910499994</v>
      </c>
      <c r="Q9" s="18">
        <f t="shared" ref="Q9:Q20" si="10">SUM(B9*1.292)</f>
        <v>4835.0090286000004</v>
      </c>
      <c r="R9" s="18">
        <f t="shared" ref="R9:R20" si="11">SUM(B9*1.3)</f>
        <v>4864.9471650000005</v>
      </c>
      <c r="S9" s="18">
        <f>SUM(B9*1.308)</f>
        <v>4894.8853013999997</v>
      </c>
      <c r="T9" s="18">
        <f>AVERAGE(G9:J9)</f>
        <v>4428.9730536749994</v>
      </c>
      <c r="U9" s="18">
        <f>T9*12</f>
        <v>53147.676644099993</v>
      </c>
    </row>
    <row r="10" spans="1:21" x14ac:dyDescent="0.3">
      <c r="A10" s="17">
        <v>11</v>
      </c>
      <c r="B10" s="18">
        <v>4440.3508223999997</v>
      </c>
      <c r="C10" s="18">
        <f t="shared" ref="C10:C20" si="12">SUM(B10*1.081)</f>
        <v>4800.0192390143993</v>
      </c>
      <c r="D10" s="18">
        <f t="shared" ref="D10:D20" si="13">SUM(B10*1.102)</f>
        <v>4893.2666062848002</v>
      </c>
      <c r="E10" s="18">
        <f t="shared" ref="E10:E20" si="14">SUM(B10*1.124)</f>
        <v>4990.9543243776006</v>
      </c>
      <c r="F10" s="18">
        <f t="shared" ref="F10:F20" si="15">SUM(B10*1.145)</f>
        <v>5084.2016916479997</v>
      </c>
      <c r="G10" s="18">
        <f t="shared" si="0"/>
        <v>5168.5683572735998</v>
      </c>
      <c r="H10" s="18">
        <f t="shared" si="1"/>
        <v>5226.2929179647999</v>
      </c>
      <c r="I10" s="18">
        <f t="shared" si="2"/>
        <v>5284.0174786559992</v>
      </c>
      <c r="J10" s="18">
        <f t="shared" si="3"/>
        <v>5341.7420393472003</v>
      </c>
      <c r="K10" s="18">
        <f t="shared" si="4"/>
        <v>5399.4666000383995</v>
      </c>
      <c r="L10" s="18">
        <f t="shared" si="5"/>
        <v>5457.1911607295997</v>
      </c>
      <c r="M10" s="18">
        <f t="shared" si="6"/>
        <v>5514.9157214207999</v>
      </c>
      <c r="N10" s="18">
        <f t="shared" si="7"/>
        <v>5572.6402821119991</v>
      </c>
      <c r="O10" s="18">
        <f t="shared" si="8"/>
        <v>5630.3648428032002</v>
      </c>
      <c r="P10" s="18">
        <f t="shared" si="9"/>
        <v>5688.0894034943994</v>
      </c>
      <c r="Q10" s="18">
        <f t="shared" si="10"/>
        <v>5736.9332625407997</v>
      </c>
      <c r="R10" s="18">
        <f t="shared" si="11"/>
        <v>5772.4560691199995</v>
      </c>
      <c r="S10" s="18">
        <f t="shared" ref="S10:S20" si="16">SUM(B10*1.308)</f>
        <v>5807.9788756992002</v>
      </c>
      <c r="T10" s="18">
        <f t="shared" ref="T10:T20" si="17">AVERAGE(G10:J10)</f>
        <v>5255.1551983104</v>
      </c>
      <c r="U10" s="18">
        <f>T10*12</f>
        <v>63061.8623797248</v>
      </c>
    </row>
    <row r="11" spans="1:21" x14ac:dyDescent="0.3">
      <c r="A11" s="17">
        <v>12</v>
      </c>
      <c r="B11" s="18">
        <v>4784.6239641599986</v>
      </c>
      <c r="C11" s="18">
        <f t="shared" si="12"/>
        <v>5172.1785052569585</v>
      </c>
      <c r="D11" s="18">
        <f t="shared" si="13"/>
        <v>5272.6556085043194</v>
      </c>
      <c r="E11" s="18">
        <f t="shared" si="14"/>
        <v>5377.9173357158388</v>
      </c>
      <c r="F11" s="18">
        <f t="shared" si="15"/>
        <v>5478.3944389631988</v>
      </c>
      <c r="G11" s="18">
        <f t="shared" si="0"/>
        <v>5569.3022942822381</v>
      </c>
      <c r="H11" s="18">
        <f t="shared" si="1"/>
        <v>5631.502405816319</v>
      </c>
      <c r="I11" s="18">
        <f t="shared" si="2"/>
        <v>5693.702517350398</v>
      </c>
      <c r="J11" s="18">
        <f t="shared" si="3"/>
        <v>5755.9026288844789</v>
      </c>
      <c r="K11" s="18">
        <f t="shared" si="4"/>
        <v>5818.1027404185579</v>
      </c>
      <c r="L11" s="18">
        <f t="shared" si="5"/>
        <v>5880.3028519526388</v>
      </c>
      <c r="M11" s="18">
        <f t="shared" si="6"/>
        <v>5942.5029634867187</v>
      </c>
      <c r="N11" s="18">
        <f t="shared" si="7"/>
        <v>6004.7030750207978</v>
      </c>
      <c r="O11" s="18">
        <f t="shared" si="8"/>
        <v>6066.9031865548786</v>
      </c>
      <c r="P11" s="18">
        <f t="shared" si="9"/>
        <v>6129.1032980889577</v>
      </c>
      <c r="Q11" s="18">
        <f t="shared" si="10"/>
        <v>6181.7341616947188</v>
      </c>
      <c r="R11" s="18">
        <f t="shared" si="11"/>
        <v>6220.0111534079988</v>
      </c>
      <c r="S11" s="18">
        <f t="shared" si="16"/>
        <v>6258.2881451212788</v>
      </c>
      <c r="T11" s="18">
        <f t="shared" si="17"/>
        <v>5662.6024615833585</v>
      </c>
      <c r="U11" s="18">
        <f t="shared" ref="U11:U20" si="18">T11*12</f>
        <v>67951.229539000298</v>
      </c>
    </row>
    <row r="12" spans="1:21" x14ac:dyDescent="0.3">
      <c r="A12" s="17">
        <v>13</v>
      </c>
      <c r="B12" s="18">
        <v>5028.0349107199991</v>
      </c>
      <c r="C12" s="18">
        <f t="shared" si="12"/>
        <v>5435.3057384883186</v>
      </c>
      <c r="D12" s="18">
        <f t="shared" si="13"/>
        <v>5540.8944716134392</v>
      </c>
      <c r="E12" s="18">
        <f t="shared" si="14"/>
        <v>5651.5112396492796</v>
      </c>
      <c r="F12" s="18">
        <f t="shared" si="15"/>
        <v>5757.0999727743992</v>
      </c>
      <c r="G12" s="18">
        <f t="shared" si="0"/>
        <v>5852.6326360780786</v>
      </c>
      <c r="H12" s="18">
        <f t="shared" si="1"/>
        <v>5917.9970899174396</v>
      </c>
      <c r="I12" s="18">
        <f t="shared" si="2"/>
        <v>5983.3615437567987</v>
      </c>
      <c r="J12" s="18">
        <f t="shared" si="3"/>
        <v>6048.7259975961588</v>
      </c>
      <c r="K12" s="18">
        <f t="shared" si="4"/>
        <v>6114.0904514355188</v>
      </c>
      <c r="L12" s="18">
        <f t="shared" si="5"/>
        <v>6179.4549052748789</v>
      </c>
      <c r="M12" s="18">
        <f t="shared" si="6"/>
        <v>6244.819359114239</v>
      </c>
      <c r="N12" s="18">
        <f t="shared" si="7"/>
        <v>6310.1838129535981</v>
      </c>
      <c r="O12" s="18">
        <f t="shared" si="8"/>
        <v>6375.5482667929591</v>
      </c>
      <c r="P12" s="18">
        <f t="shared" si="9"/>
        <v>6440.9127206323183</v>
      </c>
      <c r="Q12" s="18">
        <f t="shared" si="10"/>
        <v>6496.2211046502389</v>
      </c>
      <c r="R12" s="18">
        <f t="shared" si="11"/>
        <v>6536.4453839359994</v>
      </c>
      <c r="S12" s="18">
        <f t="shared" si="16"/>
        <v>6576.669663221759</v>
      </c>
      <c r="T12" s="18">
        <f t="shared" si="17"/>
        <v>5950.6793168371187</v>
      </c>
      <c r="U12" s="18">
        <f t="shared" si="18"/>
        <v>71408.151802045424</v>
      </c>
    </row>
    <row r="13" spans="1:21" x14ac:dyDescent="0.3">
      <c r="A13" s="17">
        <v>14</v>
      </c>
      <c r="B13" s="18">
        <v>5306.9885691617274</v>
      </c>
      <c r="C13" s="18">
        <f t="shared" si="12"/>
        <v>5736.8546432638268</v>
      </c>
      <c r="D13" s="18">
        <f t="shared" si="13"/>
        <v>5848.3014032162237</v>
      </c>
      <c r="E13" s="18">
        <f t="shared" si="14"/>
        <v>5965.0551517377826</v>
      </c>
      <c r="F13" s="18">
        <f t="shared" si="15"/>
        <v>6076.5019116901776</v>
      </c>
      <c r="G13" s="18">
        <f t="shared" si="0"/>
        <v>6177.3346945042504</v>
      </c>
      <c r="H13" s="18">
        <f t="shared" si="1"/>
        <v>6246.3255459033535</v>
      </c>
      <c r="I13" s="18">
        <f t="shared" si="2"/>
        <v>6315.3163973024557</v>
      </c>
      <c r="J13" s="18">
        <f t="shared" si="3"/>
        <v>6384.3072487015588</v>
      </c>
      <c r="K13" s="18">
        <f t="shared" si="4"/>
        <v>6453.2981001006601</v>
      </c>
      <c r="L13" s="18">
        <f t="shared" si="5"/>
        <v>6522.2889514997632</v>
      </c>
      <c r="M13" s="18">
        <f t="shared" si="6"/>
        <v>6591.2798028988655</v>
      </c>
      <c r="N13" s="18">
        <f t="shared" si="7"/>
        <v>6660.2706542979677</v>
      </c>
      <c r="O13" s="18">
        <f t="shared" si="8"/>
        <v>6729.2615056970708</v>
      </c>
      <c r="P13" s="18">
        <f t="shared" si="9"/>
        <v>6798.2523570961721</v>
      </c>
      <c r="Q13" s="18">
        <f t="shared" si="10"/>
        <v>6856.629231356952</v>
      </c>
      <c r="R13" s="18">
        <f t="shared" si="11"/>
        <v>6899.0851399102457</v>
      </c>
      <c r="S13" s="18">
        <f t="shared" si="16"/>
        <v>6941.5410484635395</v>
      </c>
      <c r="T13" s="18">
        <f t="shared" si="17"/>
        <v>6280.820971602905</v>
      </c>
      <c r="U13" s="18">
        <f t="shared" si="18"/>
        <v>75369.851659234861</v>
      </c>
    </row>
    <row r="14" spans="1:21" x14ac:dyDescent="0.3">
      <c r="A14" s="17">
        <v>15</v>
      </c>
      <c r="B14" s="18">
        <v>5336.1310927441928</v>
      </c>
      <c r="C14" s="18">
        <f t="shared" si="12"/>
        <v>5768.3577112564726</v>
      </c>
      <c r="D14" s="18">
        <f t="shared" si="13"/>
        <v>5880.4164642041005</v>
      </c>
      <c r="E14" s="18">
        <f t="shared" si="14"/>
        <v>5997.8113482444733</v>
      </c>
      <c r="F14" s="18">
        <f t="shared" si="15"/>
        <v>6109.8701011921012</v>
      </c>
      <c r="G14" s="18">
        <f t="shared" si="0"/>
        <v>6211.2565919542403</v>
      </c>
      <c r="H14" s="18">
        <f t="shared" si="1"/>
        <v>6280.626296159915</v>
      </c>
      <c r="I14" s="18">
        <f t="shared" si="2"/>
        <v>6349.9960003655888</v>
      </c>
      <c r="J14" s="18">
        <f t="shared" si="3"/>
        <v>6419.3657045712644</v>
      </c>
      <c r="K14" s="18">
        <f t="shared" si="4"/>
        <v>6488.7354087769381</v>
      </c>
      <c r="L14" s="18">
        <f t="shared" si="5"/>
        <v>6558.1051129826137</v>
      </c>
      <c r="M14" s="18">
        <f t="shared" si="6"/>
        <v>6627.4748171882875</v>
      </c>
      <c r="N14" s="18">
        <f t="shared" si="7"/>
        <v>6696.8445213939613</v>
      </c>
      <c r="O14" s="18">
        <f t="shared" si="8"/>
        <v>6766.2142255996368</v>
      </c>
      <c r="P14" s="18">
        <f t="shared" si="9"/>
        <v>6835.5839298053106</v>
      </c>
      <c r="Q14" s="18">
        <f t="shared" si="10"/>
        <v>6894.2813718254974</v>
      </c>
      <c r="R14" s="18">
        <f t="shared" si="11"/>
        <v>6936.9704205674507</v>
      </c>
      <c r="S14" s="18">
        <f t="shared" si="16"/>
        <v>6979.6594693094048</v>
      </c>
      <c r="T14" s="18">
        <f t="shared" si="17"/>
        <v>6315.3111482627528</v>
      </c>
      <c r="U14" s="18">
        <f t="shared" si="18"/>
        <v>75783.73377915303</v>
      </c>
    </row>
    <row r="15" spans="1:21" x14ac:dyDescent="0.3">
      <c r="A15" s="17">
        <v>16</v>
      </c>
      <c r="B15" s="18">
        <v>5506.4656895999988</v>
      </c>
      <c r="C15" s="18">
        <f t="shared" si="12"/>
        <v>5952.4894104575988</v>
      </c>
      <c r="D15" s="18">
        <f t="shared" si="13"/>
        <v>6068.1251899391991</v>
      </c>
      <c r="E15" s="18">
        <f t="shared" si="14"/>
        <v>6189.2674351103997</v>
      </c>
      <c r="F15" s="18">
        <f t="shared" si="15"/>
        <v>6304.9032145919991</v>
      </c>
      <c r="G15" s="18">
        <f t="shared" si="0"/>
        <v>6409.5260626943982</v>
      </c>
      <c r="H15" s="18">
        <f t="shared" si="1"/>
        <v>6481.1101166591989</v>
      </c>
      <c r="I15" s="18">
        <f t="shared" si="2"/>
        <v>6552.6941706239986</v>
      </c>
      <c r="J15" s="18">
        <f t="shared" si="3"/>
        <v>6624.2782245887993</v>
      </c>
      <c r="K15" s="18">
        <f t="shared" si="4"/>
        <v>6695.8622785535981</v>
      </c>
      <c r="L15" s="18">
        <f t="shared" si="5"/>
        <v>6767.4463325183988</v>
      </c>
      <c r="M15" s="18">
        <f t="shared" si="6"/>
        <v>6839.0303864831985</v>
      </c>
      <c r="N15" s="18">
        <f t="shared" si="7"/>
        <v>6910.6144404479983</v>
      </c>
      <c r="O15" s="18">
        <f t="shared" si="8"/>
        <v>6982.1984944127989</v>
      </c>
      <c r="P15" s="18">
        <f t="shared" si="9"/>
        <v>7053.7825483775978</v>
      </c>
      <c r="Q15" s="18">
        <f t="shared" si="10"/>
        <v>7114.353670963199</v>
      </c>
      <c r="R15" s="18">
        <f t="shared" si="11"/>
        <v>7158.4053964799987</v>
      </c>
      <c r="S15" s="18">
        <f t="shared" si="16"/>
        <v>7202.4571219967984</v>
      </c>
      <c r="T15" s="18">
        <f t="shared" si="17"/>
        <v>6516.9021436415987</v>
      </c>
      <c r="U15" s="18">
        <f t="shared" si="18"/>
        <v>78202.825723699178</v>
      </c>
    </row>
    <row r="16" spans="1:21" x14ac:dyDescent="0.3">
      <c r="A16" s="17">
        <v>17</v>
      </c>
      <c r="B16" s="18">
        <v>5934.3460154572804</v>
      </c>
      <c r="C16" s="18">
        <f t="shared" si="12"/>
        <v>6415.0280427093203</v>
      </c>
      <c r="D16" s="18">
        <f t="shared" si="13"/>
        <v>6539.6493090339236</v>
      </c>
      <c r="E16" s="18">
        <f t="shared" si="14"/>
        <v>6670.2049213739838</v>
      </c>
      <c r="F16" s="18">
        <f t="shared" si="15"/>
        <v>6794.8261876985862</v>
      </c>
      <c r="G16" s="18">
        <f t="shared" si="0"/>
        <v>6907.5787619922739</v>
      </c>
      <c r="H16" s="18">
        <f t="shared" si="1"/>
        <v>6984.7252601932196</v>
      </c>
      <c r="I16" s="18">
        <f t="shared" si="2"/>
        <v>7061.8717583941634</v>
      </c>
      <c r="J16" s="18">
        <f t="shared" si="3"/>
        <v>7139.0182565951091</v>
      </c>
      <c r="K16" s="18">
        <f t="shared" si="4"/>
        <v>7216.1647547960529</v>
      </c>
      <c r="L16" s="18">
        <f t="shared" si="5"/>
        <v>7293.3112529969985</v>
      </c>
      <c r="M16" s="18">
        <f t="shared" si="6"/>
        <v>7370.4577511979423</v>
      </c>
      <c r="N16" s="18">
        <f t="shared" si="7"/>
        <v>7447.6042493988862</v>
      </c>
      <c r="O16" s="18">
        <f t="shared" si="8"/>
        <v>7524.7507475998318</v>
      </c>
      <c r="P16" s="18">
        <f t="shared" si="9"/>
        <v>7601.8972458007756</v>
      </c>
      <c r="Q16" s="18">
        <f t="shared" si="10"/>
        <v>7667.1750519708066</v>
      </c>
      <c r="R16" s="18">
        <f t="shared" si="11"/>
        <v>7714.6498200944643</v>
      </c>
      <c r="S16" s="18">
        <f t="shared" si="16"/>
        <v>7762.1245882181229</v>
      </c>
      <c r="T16" s="18">
        <f t="shared" si="17"/>
        <v>7023.2985092936924</v>
      </c>
      <c r="U16" s="18">
        <f t="shared" si="18"/>
        <v>84279.582111524302</v>
      </c>
    </row>
    <row r="17" spans="1:21" x14ac:dyDescent="0.3">
      <c r="A17" s="17">
        <v>18</v>
      </c>
      <c r="B17" s="18">
        <v>6281.5636740904956</v>
      </c>
      <c r="C17" s="18">
        <f t="shared" si="12"/>
        <v>6790.3703316918254</v>
      </c>
      <c r="D17" s="18">
        <f t="shared" si="13"/>
        <v>6922.2831688477263</v>
      </c>
      <c r="E17" s="18">
        <f t="shared" si="14"/>
        <v>7060.4775696777178</v>
      </c>
      <c r="F17" s="18">
        <f t="shared" si="15"/>
        <v>7192.3904068336178</v>
      </c>
      <c r="G17" s="18">
        <f t="shared" si="0"/>
        <v>7311.7401166413365</v>
      </c>
      <c r="H17" s="18">
        <f t="shared" si="1"/>
        <v>7393.400444404514</v>
      </c>
      <c r="I17" s="18">
        <f t="shared" si="2"/>
        <v>7475.0607721676897</v>
      </c>
      <c r="J17" s="18">
        <f t="shared" si="3"/>
        <v>7556.7210999308663</v>
      </c>
      <c r="K17" s="18">
        <f t="shared" si="4"/>
        <v>7638.3814276940429</v>
      </c>
      <c r="L17" s="18">
        <f t="shared" si="5"/>
        <v>7720.0417554572196</v>
      </c>
      <c r="M17" s="18">
        <f t="shared" si="6"/>
        <v>7801.7020832203953</v>
      </c>
      <c r="N17" s="18">
        <f t="shared" si="7"/>
        <v>7883.362410983571</v>
      </c>
      <c r="O17" s="18">
        <f t="shared" si="8"/>
        <v>7965.0227387467485</v>
      </c>
      <c r="P17" s="18">
        <f t="shared" si="9"/>
        <v>8046.6830665099242</v>
      </c>
      <c r="Q17" s="18">
        <f t="shared" si="10"/>
        <v>8115.7802669249204</v>
      </c>
      <c r="R17" s="18">
        <f t="shared" si="11"/>
        <v>8166.0327763176447</v>
      </c>
      <c r="S17" s="18">
        <f t="shared" si="16"/>
        <v>8216.285285710368</v>
      </c>
      <c r="T17" s="18">
        <f t="shared" si="17"/>
        <v>7434.2306082861014</v>
      </c>
      <c r="U17" s="18">
        <f t="shared" si="18"/>
        <v>89210.76729943321</v>
      </c>
    </row>
    <row r="18" spans="1:21" x14ac:dyDescent="0.3">
      <c r="A18" s="17">
        <v>19</v>
      </c>
      <c r="B18" s="18">
        <v>6466.2692966399991</v>
      </c>
      <c r="C18" s="18">
        <f t="shared" si="12"/>
        <v>6990.0371096678391</v>
      </c>
      <c r="D18" s="18">
        <f t="shared" si="13"/>
        <v>7125.8287648972791</v>
      </c>
      <c r="E18" s="18">
        <f t="shared" si="14"/>
        <v>7268.0866894233595</v>
      </c>
      <c r="F18" s="18">
        <f t="shared" si="15"/>
        <v>7403.8783446527987</v>
      </c>
      <c r="G18" s="18">
        <f t="shared" si="0"/>
        <v>7526.737461288958</v>
      </c>
      <c r="H18" s="18">
        <f t="shared" si="1"/>
        <v>7610.7989621452789</v>
      </c>
      <c r="I18" s="18">
        <f t="shared" si="2"/>
        <v>7694.8604630015989</v>
      </c>
      <c r="J18" s="18">
        <f t="shared" si="3"/>
        <v>7778.9219638579198</v>
      </c>
      <c r="K18" s="18">
        <f t="shared" si="4"/>
        <v>7862.9834647142388</v>
      </c>
      <c r="L18" s="18">
        <f t="shared" si="5"/>
        <v>7947.0449655705597</v>
      </c>
      <c r="M18" s="18">
        <f t="shared" si="6"/>
        <v>8031.1064664268788</v>
      </c>
      <c r="N18" s="18">
        <f t="shared" si="7"/>
        <v>8115.1679672831979</v>
      </c>
      <c r="O18" s="18">
        <f t="shared" si="8"/>
        <v>8199.2294681395197</v>
      </c>
      <c r="P18" s="18">
        <f t="shared" si="9"/>
        <v>8283.2909689958378</v>
      </c>
      <c r="Q18" s="18">
        <f t="shared" si="10"/>
        <v>8354.4199312588789</v>
      </c>
      <c r="R18" s="18">
        <f t="shared" si="11"/>
        <v>8406.1500856319999</v>
      </c>
      <c r="S18" s="18">
        <f t="shared" si="16"/>
        <v>8457.880240005119</v>
      </c>
      <c r="T18" s="18">
        <f t="shared" si="17"/>
        <v>7652.8297125734389</v>
      </c>
      <c r="U18" s="18">
        <f t="shared" si="18"/>
        <v>91833.956550881267</v>
      </c>
    </row>
    <row r="19" spans="1:21" x14ac:dyDescent="0.3">
      <c r="A19" s="17">
        <v>20</v>
      </c>
      <c r="B19" s="18">
        <v>6716.1955053772808</v>
      </c>
      <c r="C19" s="18">
        <f t="shared" si="12"/>
        <v>7260.2073413128401</v>
      </c>
      <c r="D19" s="18">
        <f t="shared" si="13"/>
        <v>7401.2474469257641</v>
      </c>
      <c r="E19" s="18">
        <f t="shared" si="14"/>
        <v>7549.0037480440642</v>
      </c>
      <c r="F19" s="18">
        <f t="shared" si="15"/>
        <v>7690.0438536569864</v>
      </c>
      <c r="G19" s="18">
        <f t="shared" si="0"/>
        <v>7817.6515682591544</v>
      </c>
      <c r="H19" s="18">
        <f t="shared" si="1"/>
        <v>7904.96210982906</v>
      </c>
      <c r="I19" s="18">
        <f t="shared" si="2"/>
        <v>7992.2726513989637</v>
      </c>
      <c r="J19" s="18">
        <f t="shared" si="3"/>
        <v>8079.5831929688693</v>
      </c>
      <c r="K19" s="18">
        <f t="shared" si="4"/>
        <v>8166.8937345387731</v>
      </c>
      <c r="L19" s="18">
        <f t="shared" si="5"/>
        <v>8254.2042761086796</v>
      </c>
      <c r="M19" s="18">
        <f t="shared" si="6"/>
        <v>8341.5148176785824</v>
      </c>
      <c r="N19" s="18">
        <f t="shared" si="7"/>
        <v>8428.8253592484871</v>
      </c>
      <c r="O19" s="18">
        <f t="shared" si="8"/>
        <v>8516.1359008183917</v>
      </c>
      <c r="P19" s="18">
        <f t="shared" si="9"/>
        <v>8603.4464423882964</v>
      </c>
      <c r="Q19" s="18">
        <f t="shared" si="10"/>
        <v>8677.3245929474469</v>
      </c>
      <c r="R19" s="18">
        <f t="shared" si="11"/>
        <v>8731.0541569904653</v>
      </c>
      <c r="S19" s="18">
        <f t="shared" si="16"/>
        <v>8784.7837210334837</v>
      </c>
      <c r="T19" s="18">
        <f t="shared" si="17"/>
        <v>7948.6173806140114</v>
      </c>
      <c r="U19" s="18">
        <f t="shared" si="18"/>
        <v>95383.40856736814</v>
      </c>
    </row>
    <row r="20" spans="1:21" x14ac:dyDescent="0.3">
      <c r="A20" s="19">
        <v>21</v>
      </c>
      <c r="B20" s="20">
        <v>7003.6151250124794</v>
      </c>
      <c r="C20" s="20">
        <f t="shared" si="12"/>
        <v>7570.9079501384904</v>
      </c>
      <c r="D20" s="20">
        <f t="shared" si="13"/>
        <v>7717.9838677637526</v>
      </c>
      <c r="E20" s="20">
        <f t="shared" si="14"/>
        <v>7872.0634005140273</v>
      </c>
      <c r="F20" s="20">
        <f t="shared" si="15"/>
        <v>8019.1393181392887</v>
      </c>
      <c r="G20" s="20">
        <f t="shared" si="0"/>
        <v>8152.2080055145252</v>
      </c>
      <c r="H20" s="20">
        <f t="shared" si="1"/>
        <v>8243.2550021396892</v>
      </c>
      <c r="I20" s="20">
        <f t="shared" si="2"/>
        <v>8334.3019987648495</v>
      </c>
      <c r="J20" s="20">
        <f t="shared" si="3"/>
        <v>8425.3489953900134</v>
      </c>
      <c r="K20" s="20">
        <f t="shared" si="4"/>
        <v>8516.3959920151756</v>
      </c>
      <c r="L20" s="20">
        <f t="shared" si="5"/>
        <v>8607.4429886403377</v>
      </c>
      <c r="M20" s="20">
        <f t="shared" si="6"/>
        <v>8698.4899852654999</v>
      </c>
      <c r="N20" s="20">
        <f t="shared" si="7"/>
        <v>8789.5369818906602</v>
      </c>
      <c r="O20" s="20">
        <f t="shared" si="8"/>
        <v>8880.5839785158241</v>
      </c>
      <c r="P20" s="20">
        <f t="shared" si="9"/>
        <v>8971.6309751409863</v>
      </c>
      <c r="Q20" s="20">
        <f t="shared" si="10"/>
        <v>9048.6707415161236</v>
      </c>
      <c r="R20" s="20">
        <f t="shared" si="11"/>
        <v>9104.6996625162228</v>
      </c>
      <c r="S20" s="20">
        <f t="shared" si="16"/>
        <v>9160.7285835163239</v>
      </c>
      <c r="T20" s="20">
        <f t="shared" si="17"/>
        <v>8288.7785004522702</v>
      </c>
      <c r="U20" s="20">
        <f t="shared" si="18"/>
        <v>99465.342005427243</v>
      </c>
    </row>
    <row r="21" spans="1:21" ht="13.05" x14ac:dyDescent="0.3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3" spans="1:21" ht="13.5" thickBot="1" x14ac:dyDescent="0.35">
      <c r="A23" s="6" t="s">
        <v>44</v>
      </c>
      <c r="B23" s="6"/>
      <c r="C23" s="6"/>
      <c r="D23" s="6"/>
      <c r="E23" s="6"/>
      <c r="F23" s="6"/>
      <c r="G23" s="6" t="str">
        <f>'[1]01082014 tarkentava ves'!G27</f>
        <v>7 - 12 år 11 månaders erfarenhet (erfarenhetsdel 4 %)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21" x14ac:dyDescent="0.3">
      <c r="T24" s="39" t="s">
        <v>7</v>
      </c>
      <c r="U24" s="40"/>
    </row>
    <row r="25" spans="1:21" ht="12.75" customHeight="1" x14ac:dyDescent="0.3">
      <c r="A25" s="45" t="s">
        <v>4</v>
      </c>
      <c r="B25" s="45" t="s">
        <v>5</v>
      </c>
      <c r="C25" s="51" t="str">
        <f>C6</f>
        <v>Suorituspisteet ja suoritustasot / Prestationspoäng och prestationsnivå</v>
      </c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  <c r="T25" s="41"/>
      <c r="U25" s="42"/>
    </row>
    <row r="26" spans="1:21" ht="14.4" thickBot="1" x14ac:dyDescent="0.35">
      <c r="A26" s="46"/>
      <c r="B26" s="46"/>
      <c r="C26" s="10" t="s">
        <v>8</v>
      </c>
      <c r="D26" s="11" t="s">
        <v>9</v>
      </c>
      <c r="E26" s="10" t="s">
        <v>10</v>
      </c>
      <c r="F26" s="11" t="s">
        <v>11</v>
      </c>
      <c r="G26" s="10" t="s">
        <v>12</v>
      </c>
      <c r="H26" s="11" t="s">
        <v>13</v>
      </c>
      <c r="I26" s="10" t="s">
        <v>14</v>
      </c>
      <c r="J26" s="11" t="s">
        <v>15</v>
      </c>
      <c r="K26" s="10" t="s">
        <v>16</v>
      </c>
      <c r="L26" s="11" t="s">
        <v>17</v>
      </c>
      <c r="M26" s="10" t="s">
        <v>18</v>
      </c>
      <c r="N26" s="11" t="s">
        <v>19</v>
      </c>
      <c r="O26" s="10" t="s">
        <v>20</v>
      </c>
      <c r="P26" s="11" t="s">
        <v>21</v>
      </c>
      <c r="Q26" s="10" t="s">
        <v>22</v>
      </c>
      <c r="R26" s="11" t="s">
        <v>23</v>
      </c>
      <c r="S26" s="10" t="s">
        <v>24</v>
      </c>
      <c r="T26" s="43"/>
      <c r="U26" s="44"/>
    </row>
    <row r="27" spans="1:21" ht="59.4" customHeight="1" x14ac:dyDescent="0.3">
      <c r="A27" s="47"/>
      <c r="B27" s="47"/>
      <c r="C27" s="12" t="s">
        <v>25</v>
      </c>
      <c r="D27" s="13" t="s">
        <v>26</v>
      </c>
      <c r="E27" s="12" t="s">
        <v>27</v>
      </c>
      <c r="F27" s="13" t="s">
        <v>28</v>
      </c>
      <c r="G27" s="12" t="s">
        <v>29</v>
      </c>
      <c r="H27" s="13" t="s">
        <v>30</v>
      </c>
      <c r="I27" s="12" t="s">
        <v>31</v>
      </c>
      <c r="J27" s="13" t="s">
        <v>32</v>
      </c>
      <c r="K27" s="12" t="s">
        <v>33</v>
      </c>
      <c r="L27" s="13" t="s">
        <v>34</v>
      </c>
      <c r="M27" s="12" t="s">
        <v>35</v>
      </c>
      <c r="N27" s="13" t="s">
        <v>36</v>
      </c>
      <c r="O27" s="12" t="s">
        <v>37</v>
      </c>
      <c r="P27" s="13" t="s">
        <v>38</v>
      </c>
      <c r="Q27" s="12" t="s">
        <v>39</v>
      </c>
      <c r="R27" s="13" t="s">
        <v>40</v>
      </c>
      <c r="S27" s="12" t="s">
        <v>41</v>
      </c>
      <c r="T27" s="21" t="s">
        <v>42</v>
      </c>
      <c r="U27" s="22" t="s">
        <v>43</v>
      </c>
    </row>
    <row r="28" spans="1:21" x14ac:dyDescent="0.3">
      <c r="A28" s="17">
        <v>10</v>
      </c>
      <c r="B28" s="18">
        <v>3742.2670499999999</v>
      </c>
      <c r="C28" s="18">
        <f>SUM(B28*1.081+B28*0.04)</f>
        <v>4195.0813630499997</v>
      </c>
      <c r="D28" s="18">
        <f>SUM(B28*1.102+B28*0.04)</f>
        <v>4273.6689711000008</v>
      </c>
      <c r="E28" s="18">
        <f>SUM(B28*1.124+B28*0.04)</f>
        <v>4355.998846200001</v>
      </c>
      <c r="F28" s="18">
        <f>SUM(B28*1.145+B28*0.04)</f>
        <v>4434.5864542500003</v>
      </c>
      <c r="G28" s="18">
        <f t="shared" ref="G28:G39" si="19">SUM(B28*1.164+B28*0.04)</f>
        <v>4505.6895281999996</v>
      </c>
      <c r="H28" s="18">
        <f t="shared" ref="H28:H39" si="20">SUM(B28*1.177+B28*0.04)</f>
        <v>4554.3389998500006</v>
      </c>
      <c r="I28" s="18">
        <f t="shared" ref="I28:I39" si="21">SUM(B28*1.19+B28*0.04)</f>
        <v>4602.9884714999998</v>
      </c>
      <c r="J28" s="18">
        <f t="shared" ref="J28:J39" si="22">SUM(B28*1.203+B28*0.04)</f>
        <v>4651.6379431500009</v>
      </c>
      <c r="K28" s="18">
        <f t="shared" ref="K28:K39" si="23">SUM(B28*1.216+B28*0.04)</f>
        <v>4700.2874148000001</v>
      </c>
      <c r="L28" s="18">
        <f t="shared" ref="L28:L39" si="24">SUM(B28*1.229+B28*0.04)</f>
        <v>4748.9368864500002</v>
      </c>
      <c r="M28" s="18">
        <f t="shared" ref="M28:M39" si="25">SUM(B28*1.242+B28*0.04)</f>
        <v>4797.5863581000003</v>
      </c>
      <c r="N28" s="18">
        <f t="shared" ref="N28:N39" si="26">SUM(B28*1.255+B28*0.04)</f>
        <v>4846.2358297499995</v>
      </c>
      <c r="O28" s="18">
        <f t="shared" ref="O28:O39" si="27">SUM(B28*1.268+B28*0.04)</f>
        <v>4894.8853014000006</v>
      </c>
      <c r="P28" s="18">
        <f t="shared" ref="P28:P39" si="28">SUM(B28*1.281+B28*0.04)</f>
        <v>4943.5347730499998</v>
      </c>
      <c r="Q28" s="18">
        <f t="shared" ref="Q28:Q39" si="29">SUM(B28*1.292+B28*0.04)</f>
        <v>4984.6997106000008</v>
      </c>
      <c r="R28" s="18">
        <f t="shared" ref="R28:R39" si="30">SUM(B28*1.3+B28*0.04)</f>
        <v>5014.6378470000009</v>
      </c>
      <c r="S28" s="23">
        <f>SUM(B28*1.308+B28*0.04)</f>
        <v>5044.5759834</v>
      </c>
      <c r="T28" s="18">
        <f>AVERAGE(G28:J28)</f>
        <v>4578.6637356749998</v>
      </c>
      <c r="U28" s="18">
        <f>T28*12</f>
        <v>54943.964828099997</v>
      </c>
    </row>
    <row r="29" spans="1:21" x14ac:dyDescent="0.3">
      <c r="A29" s="17">
        <v>11</v>
      </c>
      <c r="B29" s="18">
        <v>4440.3508223999997</v>
      </c>
      <c r="C29" s="18">
        <f t="shared" ref="C29:C39" si="31">SUM(B29*1.081+B29*0.04)</f>
        <v>4977.6332719103993</v>
      </c>
      <c r="D29" s="18">
        <f t="shared" ref="D29:D39" si="32">SUM(B29*1.102+B29*0.04)</f>
        <v>5070.8806391808002</v>
      </c>
      <c r="E29" s="18">
        <f t="shared" ref="E29:E39" si="33">SUM(B29*1.124+B29*0.04)</f>
        <v>5168.5683572736007</v>
      </c>
      <c r="F29" s="18">
        <f t="shared" ref="F29:F39" si="34">SUM(B29*1.145+B29*0.04)</f>
        <v>5261.8157245439997</v>
      </c>
      <c r="G29" s="18">
        <f t="shared" si="19"/>
        <v>5346.1823901695998</v>
      </c>
      <c r="H29" s="18">
        <f t="shared" si="20"/>
        <v>5403.9069508608</v>
      </c>
      <c r="I29" s="18">
        <f t="shared" si="21"/>
        <v>5461.6315115519992</v>
      </c>
      <c r="J29" s="18">
        <f t="shared" si="22"/>
        <v>5519.3560722432003</v>
      </c>
      <c r="K29" s="18">
        <f t="shared" si="23"/>
        <v>5577.0806329343995</v>
      </c>
      <c r="L29" s="18">
        <f t="shared" si="24"/>
        <v>5634.8051936255997</v>
      </c>
      <c r="M29" s="18">
        <f t="shared" si="25"/>
        <v>5692.5297543167999</v>
      </c>
      <c r="N29" s="18">
        <f t="shared" si="26"/>
        <v>5750.2543150079991</v>
      </c>
      <c r="O29" s="18">
        <f t="shared" si="27"/>
        <v>5807.9788756992002</v>
      </c>
      <c r="P29" s="18">
        <f t="shared" si="28"/>
        <v>5865.7034363903995</v>
      </c>
      <c r="Q29" s="18">
        <f t="shared" si="29"/>
        <v>5914.5472954367997</v>
      </c>
      <c r="R29" s="18">
        <f t="shared" si="30"/>
        <v>5950.0701020159995</v>
      </c>
      <c r="S29" s="23">
        <f t="shared" ref="S29:S39" si="35">SUM(B29*1.308+B29*0.04)</f>
        <v>5985.5929085952002</v>
      </c>
      <c r="T29" s="18">
        <f t="shared" ref="T29:T39" si="36">AVERAGE(G29:J29)</f>
        <v>5432.7692312064</v>
      </c>
      <c r="U29" s="18">
        <f>T29*12</f>
        <v>65193.230774476804</v>
      </c>
    </row>
    <row r="30" spans="1:21" x14ac:dyDescent="0.3">
      <c r="A30" s="17">
        <v>12</v>
      </c>
      <c r="B30" s="18">
        <v>4784.6239641599986</v>
      </c>
      <c r="C30" s="18">
        <f t="shared" si="31"/>
        <v>5363.5634638233587</v>
      </c>
      <c r="D30" s="18">
        <f t="shared" si="32"/>
        <v>5464.0405670707196</v>
      </c>
      <c r="E30" s="18">
        <f t="shared" si="33"/>
        <v>5569.302294282239</v>
      </c>
      <c r="F30" s="18">
        <f t="shared" si="34"/>
        <v>5669.779397529599</v>
      </c>
      <c r="G30" s="18">
        <f t="shared" si="19"/>
        <v>5760.6872528486383</v>
      </c>
      <c r="H30" s="18">
        <f t="shared" si="20"/>
        <v>5822.8873643827192</v>
      </c>
      <c r="I30" s="18">
        <f t="shared" si="21"/>
        <v>5885.0874759167982</v>
      </c>
      <c r="J30" s="18">
        <f t="shared" si="22"/>
        <v>5947.2875874508791</v>
      </c>
      <c r="K30" s="18">
        <f t="shared" si="23"/>
        <v>6009.4876989849581</v>
      </c>
      <c r="L30" s="18">
        <f t="shared" si="24"/>
        <v>6071.687810519039</v>
      </c>
      <c r="M30" s="18">
        <f t="shared" si="25"/>
        <v>6133.8879220531189</v>
      </c>
      <c r="N30" s="18">
        <f t="shared" si="26"/>
        <v>6196.088033587198</v>
      </c>
      <c r="O30" s="18">
        <f t="shared" si="27"/>
        <v>6258.2881451212788</v>
      </c>
      <c r="P30" s="18">
        <f t="shared" si="28"/>
        <v>6320.4882566553579</v>
      </c>
      <c r="Q30" s="18">
        <f t="shared" si="29"/>
        <v>6373.119120261119</v>
      </c>
      <c r="R30" s="18">
        <f t="shared" si="30"/>
        <v>6411.396111974399</v>
      </c>
      <c r="S30" s="23">
        <f t="shared" si="35"/>
        <v>6449.673103687679</v>
      </c>
      <c r="T30" s="18">
        <f t="shared" si="36"/>
        <v>5853.9874201497587</v>
      </c>
      <c r="U30" s="18">
        <f t="shared" ref="U30:U39" si="37">T30*12</f>
        <v>70247.849041797104</v>
      </c>
    </row>
    <row r="31" spans="1:21" x14ac:dyDescent="0.3">
      <c r="A31" s="17">
        <v>13</v>
      </c>
      <c r="B31" s="18">
        <v>5028.0349107199991</v>
      </c>
      <c r="C31" s="18">
        <f t="shared" si="31"/>
        <v>5636.4271349171186</v>
      </c>
      <c r="D31" s="18">
        <f t="shared" si="32"/>
        <v>5742.0158680422392</v>
      </c>
      <c r="E31" s="18">
        <f t="shared" si="33"/>
        <v>5852.6326360780795</v>
      </c>
      <c r="F31" s="18">
        <f t="shared" si="34"/>
        <v>5958.2213692031992</v>
      </c>
      <c r="G31" s="18">
        <f t="shared" si="19"/>
        <v>6053.7540325068785</v>
      </c>
      <c r="H31" s="18">
        <f t="shared" si="20"/>
        <v>6119.1184863462395</v>
      </c>
      <c r="I31" s="18">
        <f t="shared" si="21"/>
        <v>6184.4829401855986</v>
      </c>
      <c r="J31" s="18">
        <f t="shared" si="22"/>
        <v>6249.8473940249587</v>
      </c>
      <c r="K31" s="18">
        <f t="shared" si="23"/>
        <v>6315.2118478643188</v>
      </c>
      <c r="L31" s="18">
        <f t="shared" si="24"/>
        <v>6380.5763017036788</v>
      </c>
      <c r="M31" s="18">
        <f t="shared" si="25"/>
        <v>6445.9407555430389</v>
      </c>
      <c r="N31" s="18">
        <f t="shared" si="26"/>
        <v>6511.3052093823981</v>
      </c>
      <c r="O31" s="18">
        <f t="shared" si="27"/>
        <v>6576.669663221759</v>
      </c>
      <c r="P31" s="18">
        <f t="shared" si="28"/>
        <v>6642.0341170611182</v>
      </c>
      <c r="Q31" s="18">
        <f t="shared" si="29"/>
        <v>6697.3425010790388</v>
      </c>
      <c r="R31" s="18">
        <f t="shared" si="30"/>
        <v>6737.5667803647993</v>
      </c>
      <c r="S31" s="23">
        <f t="shared" si="35"/>
        <v>6777.791059650559</v>
      </c>
      <c r="T31" s="18">
        <f t="shared" si="36"/>
        <v>6151.8007132659186</v>
      </c>
      <c r="U31" s="18">
        <f t="shared" si="37"/>
        <v>73821.608559191023</v>
      </c>
    </row>
    <row r="32" spans="1:21" x14ac:dyDescent="0.3">
      <c r="A32" s="17">
        <v>14</v>
      </c>
      <c r="B32" s="18">
        <v>5306.9885691617274</v>
      </c>
      <c r="C32" s="18">
        <f t="shared" si="31"/>
        <v>5949.1341860302955</v>
      </c>
      <c r="D32" s="18">
        <f t="shared" si="32"/>
        <v>6060.5809459826924</v>
      </c>
      <c r="E32" s="18">
        <f t="shared" si="33"/>
        <v>6177.3346945042513</v>
      </c>
      <c r="F32" s="18">
        <f t="shared" si="34"/>
        <v>6288.7814544566463</v>
      </c>
      <c r="G32" s="18">
        <f t="shared" si="19"/>
        <v>6389.6142372707191</v>
      </c>
      <c r="H32" s="18">
        <f t="shared" si="20"/>
        <v>6458.6050886698222</v>
      </c>
      <c r="I32" s="18">
        <f t="shared" si="21"/>
        <v>6527.5959400689244</v>
      </c>
      <c r="J32" s="18">
        <f t="shared" si="22"/>
        <v>6596.5867914680275</v>
      </c>
      <c r="K32" s="18">
        <f t="shared" si="23"/>
        <v>6665.5776428671288</v>
      </c>
      <c r="L32" s="18">
        <f t="shared" si="24"/>
        <v>6734.5684942662319</v>
      </c>
      <c r="M32" s="18">
        <f t="shared" si="25"/>
        <v>6803.5593456653341</v>
      </c>
      <c r="N32" s="18">
        <f t="shared" si="26"/>
        <v>6872.5501970644364</v>
      </c>
      <c r="O32" s="18">
        <f t="shared" si="27"/>
        <v>6941.5410484635395</v>
      </c>
      <c r="P32" s="18">
        <f t="shared" si="28"/>
        <v>7010.5318998626408</v>
      </c>
      <c r="Q32" s="18">
        <f t="shared" si="29"/>
        <v>7068.9087741234207</v>
      </c>
      <c r="R32" s="18">
        <f t="shared" si="30"/>
        <v>7111.3646826767144</v>
      </c>
      <c r="S32" s="23">
        <f t="shared" si="35"/>
        <v>7153.8205912300082</v>
      </c>
      <c r="T32" s="18">
        <f t="shared" si="36"/>
        <v>6493.1005143693728</v>
      </c>
      <c r="U32" s="18">
        <f t="shared" si="37"/>
        <v>77917.206172432474</v>
      </c>
    </row>
    <row r="33" spans="1:21" x14ac:dyDescent="0.3">
      <c r="A33" s="17">
        <v>15</v>
      </c>
      <c r="B33" s="18">
        <v>5336.1310927441928</v>
      </c>
      <c r="C33" s="18">
        <f t="shared" si="31"/>
        <v>5981.8029549662406</v>
      </c>
      <c r="D33" s="18">
        <f t="shared" si="32"/>
        <v>6093.8617079138685</v>
      </c>
      <c r="E33" s="18">
        <f t="shared" si="33"/>
        <v>6211.2565919542412</v>
      </c>
      <c r="F33" s="18">
        <f t="shared" si="34"/>
        <v>6323.3153449018691</v>
      </c>
      <c r="G33" s="18">
        <f t="shared" si="19"/>
        <v>6424.7018356640083</v>
      </c>
      <c r="H33" s="18">
        <f t="shared" si="20"/>
        <v>6494.071539869683</v>
      </c>
      <c r="I33" s="18">
        <f t="shared" si="21"/>
        <v>6563.4412440753567</v>
      </c>
      <c r="J33" s="18">
        <f t="shared" si="22"/>
        <v>6632.8109482810323</v>
      </c>
      <c r="K33" s="18">
        <f t="shared" si="23"/>
        <v>6702.1806524867061</v>
      </c>
      <c r="L33" s="18">
        <f t="shared" si="24"/>
        <v>6771.5503566923817</v>
      </c>
      <c r="M33" s="18">
        <f t="shared" si="25"/>
        <v>6840.9200608980555</v>
      </c>
      <c r="N33" s="18">
        <f t="shared" si="26"/>
        <v>6910.2897651037292</v>
      </c>
      <c r="O33" s="18">
        <f t="shared" si="27"/>
        <v>6979.6594693094048</v>
      </c>
      <c r="P33" s="18">
        <f t="shared" si="28"/>
        <v>7049.0291735150786</v>
      </c>
      <c r="Q33" s="18">
        <f t="shared" si="29"/>
        <v>7107.7266155352654</v>
      </c>
      <c r="R33" s="18">
        <f t="shared" si="30"/>
        <v>7150.4156642772186</v>
      </c>
      <c r="S33" s="23">
        <f t="shared" si="35"/>
        <v>7193.1047130191728</v>
      </c>
      <c r="T33" s="18">
        <f t="shared" si="36"/>
        <v>6528.7563919725199</v>
      </c>
      <c r="U33" s="18">
        <f t="shared" si="37"/>
        <v>78345.076703670231</v>
      </c>
    </row>
    <row r="34" spans="1:21" x14ac:dyDescent="0.3">
      <c r="A34" s="17">
        <v>16</v>
      </c>
      <c r="B34" s="18">
        <v>5506.4656895999988</v>
      </c>
      <c r="C34" s="18">
        <f t="shared" si="31"/>
        <v>6172.7480380415991</v>
      </c>
      <c r="D34" s="18">
        <f t="shared" si="32"/>
        <v>6288.3838175231995</v>
      </c>
      <c r="E34" s="18">
        <f t="shared" si="33"/>
        <v>6409.5260626944</v>
      </c>
      <c r="F34" s="18">
        <f t="shared" si="34"/>
        <v>6525.1618421759995</v>
      </c>
      <c r="G34" s="18">
        <f t="shared" si="19"/>
        <v>6629.7846902783986</v>
      </c>
      <c r="H34" s="18">
        <f t="shared" si="20"/>
        <v>6701.3687442431992</v>
      </c>
      <c r="I34" s="18">
        <f t="shared" si="21"/>
        <v>6772.952798207999</v>
      </c>
      <c r="J34" s="18">
        <f t="shared" si="22"/>
        <v>6844.5368521727996</v>
      </c>
      <c r="K34" s="18">
        <f t="shared" si="23"/>
        <v>6916.1209061375985</v>
      </c>
      <c r="L34" s="18">
        <f t="shared" si="24"/>
        <v>6987.7049601023991</v>
      </c>
      <c r="M34" s="18">
        <f t="shared" si="25"/>
        <v>7059.2890140671989</v>
      </c>
      <c r="N34" s="18">
        <f t="shared" si="26"/>
        <v>7130.8730680319986</v>
      </c>
      <c r="O34" s="18">
        <f t="shared" si="27"/>
        <v>7202.4571219967993</v>
      </c>
      <c r="P34" s="18">
        <f t="shared" si="28"/>
        <v>7274.0411759615981</v>
      </c>
      <c r="Q34" s="18">
        <f t="shared" si="29"/>
        <v>7334.6122985471993</v>
      </c>
      <c r="R34" s="18">
        <f t="shared" si="30"/>
        <v>7378.664024063999</v>
      </c>
      <c r="S34" s="23">
        <f t="shared" si="35"/>
        <v>7422.7157495807987</v>
      </c>
      <c r="T34" s="18">
        <f t="shared" si="36"/>
        <v>6737.1607712255991</v>
      </c>
      <c r="U34" s="18">
        <f t="shared" si="37"/>
        <v>80845.929254707182</v>
      </c>
    </row>
    <row r="35" spans="1:21" x14ac:dyDescent="0.3">
      <c r="A35" s="17">
        <v>17</v>
      </c>
      <c r="B35" s="18">
        <v>5934.3460154572804</v>
      </c>
      <c r="C35" s="18">
        <f t="shared" si="31"/>
        <v>6652.4018833276114</v>
      </c>
      <c r="D35" s="18">
        <f t="shared" si="32"/>
        <v>6777.0231496522147</v>
      </c>
      <c r="E35" s="18">
        <f t="shared" si="33"/>
        <v>6907.5787619922748</v>
      </c>
      <c r="F35" s="18">
        <f t="shared" si="34"/>
        <v>7032.2000283168773</v>
      </c>
      <c r="G35" s="18">
        <f t="shared" si="19"/>
        <v>7144.952602610565</v>
      </c>
      <c r="H35" s="18">
        <f t="shared" si="20"/>
        <v>7222.0991008115107</v>
      </c>
      <c r="I35" s="18">
        <f t="shared" si="21"/>
        <v>7299.2455990124545</v>
      </c>
      <c r="J35" s="18">
        <f t="shared" si="22"/>
        <v>7376.3920972134001</v>
      </c>
      <c r="K35" s="18">
        <f t="shared" si="23"/>
        <v>7453.5385954143439</v>
      </c>
      <c r="L35" s="18">
        <f t="shared" si="24"/>
        <v>7530.6850936152896</v>
      </c>
      <c r="M35" s="18">
        <f t="shared" si="25"/>
        <v>7607.8315918162334</v>
      </c>
      <c r="N35" s="18">
        <f t="shared" si="26"/>
        <v>7684.9780900171772</v>
      </c>
      <c r="O35" s="18">
        <f t="shared" si="27"/>
        <v>7762.1245882181229</v>
      </c>
      <c r="P35" s="18">
        <f t="shared" si="28"/>
        <v>7839.2710864190667</v>
      </c>
      <c r="Q35" s="18">
        <f t="shared" si="29"/>
        <v>7904.5488925890977</v>
      </c>
      <c r="R35" s="18">
        <f t="shared" si="30"/>
        <v>7952.0236607127554</v>
      </c>
      <c r="S35" s="23">
        <f t="shared" si="35"/>
        <v>7999.498428836414</v>
      </c>
      <c r="T35" s="18">
        <f t="shared" si="36"/>
        <v>7260.6723499119826</v>
      </c>
      <c r="U35" s="18">
        <f t="shared" si="37"/>
        <v>87128.068198943787</v>
      </c>
    </row>
    <row r="36" spans="1:21" x14ac:dyDescent="0.3">
      <c r="A36" s="17">
        <v>18</v>
      </c>
      <c r="B36" s="18">
        <v>6281.5636740904956</v>
      </c>
      <c r="C36" s="18">
        <f t="shared" si="31"/>
        <v>7041.632878655445</v>
      </c>
      <c r="D36" s="18">
        <f t="shared" si="32"/>
        <v>7173.5457158113459</v>
      </c>
      <c r="E36" s="18">
        <f t="shared" si="33"/>
        <v>7311.7401166413374</v>
      </c>
      <c r="F36" s="18">
        <f t="shared" si="34"/>
        <v>7443.6529537972374</v>
      </c>
      <c r="G36" s="18">
        <f t="shared" si="19"/>
        <v>7563.0026636049561</v>
      </c>
      <c r="H36" s="18">
        <f t="shared" si="20"/>
        <v>7644.6629913681336</v>
      </c>
      <c r="I36" s="18">
        <f t="shared" si="21"/>
        <v>7726.3233191313093</v>
      </c>
      <c r="J36" s="18">
        <f t="shared" si="22"/>
        <v>7807.9836468944859</v>
      </c>
      <c r="K36" s="18">
        <f t="shared" si="23"/>
        <v>7889.6439746576625</v>
      </c>
      <c r="L36" s="18">
        <f t="shared" si="24"/>
        <v>7971.3043024208391</v>
      </c>
      <c r="M36" s="18">
        <f t="shared" si="25"/>
        <v>8052.9646301840148</v>
      </c>
      <c r="N36" s="18">
        <f t="shared" si="26"/>
        <v>8134.6249579471905</v>
      </c>
      <c r="O36" s="18">
        <f t="shared" si="27"/>
        <v>8216.285285710368</v>
      </c>
      <c r="P36" s="18">
        <f t="shared" si="28"/>
        <v>8297.9456134735447</v>
      </c>
      <c r="Q36" s="18">
        <f t="shared" si="29"/>
        <v>8367.04281388854</v>
      </c>
      <c r="R36" s="18">
        <f t="shared" si="30"/>
        <v>8417.2953232812652</v>
      </c>
      <c r="S36" s="23">
        <f t="shared" si="35"/>
        <v>8467.5478326739885</v>
      </c>
      <c r="T36" s="18">
        <f t="shared" si="36"/>
        <v>7685.493155249721</v>
      </c>
      <c r="U36" s="18">
        <f t="shared" si="37"/>
        <v>92225.917862996648</v>
      </c>
    </row>
    <row r="37" spans="1:21" x14ac:dyDescent="0.3">
      <c r="A37" s="17">
        <v>19</v>
      </c>
      <c r="B37" s="18">
        <v>6466.2692966399991</v>
      </c>
      <c r="C37" s="18">
        <f t="shared" si="31"/>
        <v>7248.6878815334394</v>
      </c>
      <c r="D37" s="18">
        <f t="shared" si="32"/>
        <v>7384.4795367628794</v>
      </c>
      <c r="E37" s="18">
        <f t="shared" si="33"/>
        <v>7526.7374612889598</v>
      </c>
      <c r="F37" s="18">
        <f t="shared" si="34"/>
        <v>7662.529116518399</v>
      </c>
      <c r="G37" s="18">
        <f t="shared" si="19"/>
        <v>7785.3882331545583</v>
      </c>
      <c r="H37" s="18">
        <f t="shared" si="20"/>
        <v>7869.4497340108792</v>
      </c>
      <c r="I37" s="18">
        <f t="shared" si="21"/>
        <v>7953.5112348671992</v>
      </c>
      <c r="J37" s="18">
        <f t="shared" si="22"/>
        <v>8037.5727357235201</v>
      </c>
      <c r="K37" s="18">
        <f t="shared" si="23"/>
        <v>8121.6342365798391</v>
      </c>
      <c r="L37" s="18">
        <f t="shared" si="24"/>
        <v>8205.6957374361591</v>
      </c>
      <c r="M37" s="18">
        <f t="shared" si="25"/>
        <v>8289.7572382924791</v>
      </c>
      <c r="N37" s="18">
        <f t="shared" si="26"/>
        <v>8373.8187391487972</v>
      </c>
      <c r="O37" s="18">
        <f t="shared" si="27"/>
        <v>8457.880240005119</v>
      </c>
      <c r="P37" s="18">
        <f t="shared" si="28"/>
        <v>8541.9417408614372</v>
      </c>
      <c r="Q37" s="18">
        <f t="shared" si="29"/>
        <v>8613.0707031244783</v>
      </c>
      <c r="R37" s="18">
        <f t="shared" si="30"/>
        <v>8664.8008574975993</v>
      </c>
      <c r="S37" s="23">
        <f t="shared" si="35"/>
        <v>8716.5310118707184</v>
      </c>
      <c r="T37" s="18">
        <f t="shared" si="36"/>
        <v>7911.4804844390392</v>
      </c>
      <c r="U37" s="18">
        <f t="shared" si="37"/>
        <v>94937.765813268474</v>
      </c>
    </row>
    <row r="38" spans="1:21" x14ac:dyDescent="0.3">
      <c r="A38" s="17">
        <v>20</v>
      </c>
      <c r="B38" s="18">
        <v>6716.1955053772808</v>
      </c>
      <c r="C38" s="18">
        <f t="shared" si="31"/>
        <v>7528.8551615279312</v>
      </c>
      <c r="D38" s="18">
        <f t="shared" si="32"/>
        <v>7669.8952671408551</v>
      </c>
      <c r="E38" s="18">
        <f t="shared" si="33"/>
        <v>7817.6515682591553</v>
      </c>
      <c r="F38" s="18">
        <f t="shared" si="34"/>
        <v>7958.6916738720774</v>
      </c>
      <c r="G38" s="18">
        <f t="shared" si="19"/>
        <v>8086.2993884742455</v>
      </c>
      <c r="H38" s="18">
        <f t="shared" si="20"/>
        <v>8173.609930044151</v>
      </c>
      <c r="I38" s="18">
        <f t="shared" si="21"/>
        <v>8260.9204716140557</v>
      </c>
      <c r="J38" s="18">
        <f t="shared" si="22"/>
        <v>8348.2310131839604</v>
      </c>
      <c r="K38" s="18">
        <f t="shared" si="23"/>
        <v>8435.5415547538651</v>
      </c>
      <c r="L38" s="18">
        <f t="shared" si="24"/>
        <v>8522.8520963237715</v>
      </c>
      <c r="M38" s="18">
        <f t="shared" si="25"/>
        <v>8610.1626378936744</v>
      </c>
      <c r="N38" s="18">
        <f t="shared" si="26"/>
        <v>8697.4731794635791</v>
      </c>
      <c r="O38" s="18">
        <f t="shared" si="27"/>
        <v>8784.7837210334837</v>
      </c>
      <c r="P38" s="18">
        <f t="shared" si="28"/>
        <v>8872.0942626033884</v>
      </c>
      <c r="Q38" s="18">
        <f t="shared" si="29"/>
        <v>8945.9724131625389</v>
      </c>
      <c r="R38" s="18">
        <f t="shared" si="30"/>
        <v>8999.7019772055573</v>
      </c>
      <c r="S38" s="23">
        <f t="shared" si="35"/>
        <v>9053.4315412485757</v>
      </c>
      <c r="T38" s="18">
        <f t="shared" si="36"/>
        <v>8217.2652008291025</v>
      </c>
      <c r="U38" s="18">
        <f t="shared" si="37"/>
        <v>98607.182409949222</v>
      </c>
    </row>
    <row r="39" spans="1:21" x14ac:dyDescent="0.3">
      <c r="A39" s="19">
        <v>21</v>
      </c>
      <c r="B39" s="20">
        <v>7003.6151250124794</v>
      </c>
      <c r="C39" s="20">
        <f t="shared" si="31"/>
        <v>7851.0525551389892</v>
      </c>
      <c r="D39" s="20">
        <f t="shared" si="32"/>
        <v>7998.1284727642515</v>
      </c>
      <c r="E39" s="20">
        <f t="shared" si="33"/>
        <v>8152.2080055145261</v>
      </c>
      <c r="F39" s="20">
        <f t="shared" si="34"/>
        <v>8299.2839231397884</v>
      </c>
      <c r="G39" s="20">
        <f t="shared" si="19"/>
        <v>8432.3526105150249</v>
      </c>
      <c r="H39" s="20">
        <f t="shared" si="20"/>
        <v>8523.3996071401889</v>
      </c>
      <c r="I39" s="20">
        <f t="shared" si="21"/>
        <v>8614.4466037653492</v>
      </c>
      <c r="J39" s="20">
        <f t="shared" si="22"/>
        <v>8705.4936003905132</v>
      </c>
      <c r="K39" s="20">
        <f t="shared" si="23"/>
        <v>8796.5405970156753</v>
      </c>
      <c r="L39" s="20">
        <f t="shared" si="24"/>
        <v>8887.5875936408374</v>
      </c>
      <c r="M39" s="20">
        <f t="shared" si="25"/>
        <v>8978.6345902659996</v>
      </c>
      <c r="N39" s="20">
        <f t="shared" si="26"/>
        <v>9069.6815868911599</v>
      </c>
      <c r="O39" s="20">
        <f t="shared" si="27"/>
        <v>9160.7285835163239</v>
      </c>
      <c r="P39" s="20">
        <f t="shared" si="28"/>
        <v>9251.775580141486</v>
      </c>
      <c r="Q39" s="20">
        <f t="shared" si="29"/>
        <v>9328.8153465166233</v>
      </c>
      <c r="R39" s="20">
        <f t="shared" si="30"/>
        <v>9384.8442675167225</v>
      </c>
      <c r="S39" s="24">
        <f t="shared" si="35"/>
        <v>9440.8731885168236</v>
      </c>
      <c r="T39" s="20">
        <f t="shared" si="36"/>
        <v>8568.92310545277</v>
      </c>
      <c r="U39" s="20">
        <f t="shared" si="37"/>
        <v>102827.07726543324</v>
      </c>
    </row>
    <row r="41" spans="1:21" ht="13.5" thickBot="1" x14ac:dyDescent="0.35">
      <c r="A41" s="6" t="s">
        <v>45</v>
      </c>
      <c r="B41" s="6"/>
      <c r="C41" s="6"/>
      <c r="D41" s="6"/>
      <c r="E41" s="6"/>
      <c r="F41" s="6"/>
      <c r="G41" s="6" t="str">
        <f>'[1]01082014 tarkentava ves'!G53</f>
        <v>13 - 17 år 11 månaders erfarenhet (erfarenhetsdel 7 %)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21" x14ac:dyDescent="0.3">
      <c r="T42" s="39" t="s">
        <v>7</v>
      </c>
      <c r="U42" s="40"/>
    </row>
    <row r="43" spans="1:21" ht="12.75" customHeight="1" x14ac:dyDescent="0.3">
      <c r="A43" s="45" t="s">
        <v>4</v>
      </c>
      <c r="B43" s="45" t="s">
        <v>5</v>
      </c>
      <c r="C43" s="51" t="str">
        <f>C6</f>
        <v>Suorituspisteet ja suoritustasot / Prestationspoäng och prestationsnivå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3"/>
      <c r="T43" s="41"/>
      <c r="U43" s="42"/>
    </row>
    <row r="44" spans="1:21" ht="14.4" thickBot="1" x14ac:dyDescent="0.35">
      <c r="A44" s="46"/>
      <c r="B44" s="46"/>
      <c r="C44" s="10" t="s">
        <v>8</v>
      </c>
      <c r="D44" s="11" t="s">
        <v>9</v>
      </c>
      <c r="E44" s="10" t="s">
        <v>10</v>
      </c>
      <c r="F44" s="11" t="s">
        <v>11</v>
      </c>
      <c r="G44" s="10" t="s">
        <v>12</v>
      </c>
      <c r="H44" s="11" t="s">
        <v>13</v>
      </c>
      <c r="I44" s="10" t="s">
        <v>14</v>
      </c>
      <c r="J44" s="11" t="s">
        <v>15</v>
      </c>
      <c r="K44" s="10" t="s">
        <v>16</v>
      </c>
      <c r="L44" s="11" t="s">
        <v>17</v>
      </c>
      <c r="M44" s="10" t="s">
        <v>18</v>
      </c>
      <c r="N44" s="11" t="s">
        <v>19</v>
      </c>
      <c r="O44" s="10" t="s">
        <v>20</v>
      </c>
      <c r="P44" s="11" t="s">
        <v>21</v>
      </c>
      <c r="Q44" s="10" t="s">
        <v>22</v>
      </c>
      <c r="R44" s="11" t="s">
        <v>23</v>
      </c>
      <c r="S44" s="10" t="s">
        <v>24</v>
      </c>
      <c r="T44" s="43"/>
      <c r="U44" s="44"/>
    </row>
    <row r="45" spans="1:21" ht="55.2" x14ac:dyDescent="0.3">
      <c r="A45" s="47"/>
      <c r="B45" s="47"/>
      <c r="C45" s="12" t="s">
        <v>25</v>
      </c>
      <c r="D45" s="13" t="s">
        <v>26</v>
      </c>
      <c r="E45" s="12" t="s">
        <v>27</v>
      </c>
      <c r="F45" s="13" t="s">
        <v>28</v>
      </c>
      <c r="G45" s="12" t="s">
        <v>29</v>
      </c>
      <c r="H45" s="13" t="s">
        <v>30</v>
      </c>
      <c r="I45" s="12" t="s">
        <v>31</v>
      </c>
      <c r="J45" s="13" t="s">
        <v>32</v>
      </c>
      <c r="K45" s="12" t="s">
        <v>33</v>
      </c>
      <c r="L45" s="13" t="s">
        <v>34</v>
      </c>
      <c r="M45" s="12" t="s">
        <v>35</v>
      </c>
      <c r="N45" s="13" t="s">
        <v>36</v>
      </c>
      <c r="O45" s="12" t="s">
        <v>37</v>
      </c>
      <c r="P45" s="13" t="s">
        <v>38</v>
      </c>
      <c r="Q45" s="12" t="s">
        <v>39</v>
      </c>
      <c r="R45" s="13" t="s">
        <v>40</v>
      </c>
      <c r="S45" s="12" t="s">
        <v>41</v>
      </c>
      <c r="T45" s="21" t="s">
        <v>42</v>
      </c>
      <c r="U45" s="22" t="s">
        <v>43</v>
      </c>
    </row>
    <row r="46" spans="1:21" x14ac:dyDescent="0.3">
      <c r="A46" s="17">
        <v>10</v>
      </c>
      <c r="B46" s="18">
        <v>3742.2670499999999</v>
      </c>
      <c r="C46" s="18">
        <f>SUM(B46*1.081+B46*0.07)</f>
        <v>4307.34937455</v>
      </c>
      <c r="D46" s="18">
        <f>SUM(B46*1.102+B46*0.07)</f>
        <v>4385.9369826000002</v>
      </c>
      <c r="E46" s="18">
        <f>SUM(B46*1.124+B46*0.07)</f>
        <v>4468.2668577000004</v>
      </c>
      <c r="F46" s="18">
        <f>SUM(B46*1.145+B46*0.07)</f>
        <v>4546.8544657499997</v>
      </c>
      <c r="G46" s="18">
        <f t="shared" ref="G46:G57" si="38">SUM(B46*1.164+B46*0.07)</f>
        <v>4617.957539699999</v>
      </c>
      <c r="H46" s="18">
        <f t="shared" ref="H46:H57" si="39">SUM(B46*1.177+B46*0.07)</f>
        <v>4666.60701135</v>
      </c>
      <c r="I46" s="18">
        <f t="shared" ref="I46:I57" si="40">SUM(B46*1.19+B46*0.07)</f>
        <v>4715.2564829999992</v>
      </c>
      <c r="J46" s="18">
        <f t="shared" ref="J46:J57" si="41">SUM(B46*1.203+B46*0.07)</f>
        <v>4763.9059546500002</v>
      </c>
      <c r="K46" s="18">
        <f t="shared" ref="K46:K57" si="42">SUM(B46*1.216+B46*0.07)</f>
        <v>4812.5554262999995</v>
      </c>
      <c r="L46" s="18">
        <f t="shared" ref="L46:L57" si="43">SUM(B46*1.229+B46*0.07)</f>
        <v>4861.2048979499996</v>
      </c>
      <c r="M46" s="18">
        <f t="shared" ref="M46:M57" si="44">SUM(B46*1.242+B46*0.07)</f>
        <v>4909.8543695999997</v>
      </c>
      <c r="N46" s="18">
        <f t="shared" ref="N46:N57" si="45">SUM(B46*1.255+B46*0.07)</f>
        <v>4958.5038412499989</v>
      </c>
      <c r="O46" s="18">
        <f t="shared" ref="O46:O57" si="46">SUM(B46*1.268+B46*0.07)</f>
        <v>5007.1533128999999</v>
      </c>
      <c r="P46" s="18">
        <f t="shared" ref="P46:P57" si="47">SUM(B46*1.281+B46*0.07)</f>
        <v>5055.8027845499992</v>
      </c>
      <c r="Q46" s="18">
        <f t="shared" ref="Q46:Q57" si="48">SUM(B46*1.292+B46*0.07)</f>
        <v>5096.9677221000002</v>
      </c>
      <c r="R46" s="18">
        <f t="shared" ref="R46:R57" si="49">SUM(B46*1.3+B46*0.07)</f>
        <v>5126.9058585000002</v>
      </c>
      <c r="S46" s="23">
        <f>SUM(B46*1.308+B46*0.07)</f>
        <v>5156.8439948999994</v>
      </c>
      <c r="T46" s="18">
        <f>AVERAGE(G46:J46)</f>
        <v>4690.9317471750001</v>
      </c>
      <c r="U46" s="18">
        <f>T46*12</f>
        <v>56291.180966100001</v>
      </c>
    </row>
    <row r="47" spans="1:21" x14ac:dyDescent="0.3">
      <c r="A47" s="17">
        <v>11</v>
      </c>
      <c r="B47" s="18">
        <v>4440.3508223999997</v>
      </c>
      <c r="C47" s="18">
        <f t="shared" ref="C47:C57" si="50">SUM(B47*1.081+B47*0.07)</f>
        <v>5110.8437965823996</v>
      </c>
      <c r="D47" s="18">
        <f t="shared" ref="D47:D57" si="51">SUM(B47*1.102+B47*0.07)</f>
        <v>5204.0911638528005</v>
      </c>
      <c r="E47" s="18">
        <f t="shared" ref="E47:E57" si="52">SUM(B47*1.124+B47*0.07)</f>
        <v>5301.7788819456009</v>
      </c>
      <c r="F47" s="18">
        <f t="shared" ref="F47:F57" si="53">SUM(B47*1.145+B47*0.07)</f>
        <v>5395.026249216</v>
      </c>
      <c r="G47" s="18">
        <f t="shared" si="38"/>
        <v>5479.3929148416</v>
      </c>
      <c r="H47" s="18">
        <f t="shared" si="39"/>
        <v>5537.1174755328002</v>
      </c>
      <c r="I47" s="18">
        <f t="shared" si="40"/>
        <v>5594.8420362239995</v>
      </c>
      <c r="J47" s="18">
        <f t="shared" si="41"/>
        <v>5652.5665969152005</v>
      </c>
      <c r="K47" s="18">
        <f t="shared" si="42"/>
        <v>5710.2911576063998</v>
      </c>
      <c r="L47" s="18">
        <f t="shared" si="43"/>
        <v>5768.0157182976</v>
      </c>
      <c r="M47" s="18">
        <f t="shared" si="44"/>
        <v>5825.7402789888001</v>
      </c>
      <c r="N47" s="18">
        <f t="shared" si="45"/>
        <v>5883.4648396799994</v>
      </c>
      <c r="O47" s="18">
        <f t="shared" si="46"/>
        <v>5941.1894003712005</v>
      </c>
      <c r="P47" s="18">
        <f t="shared" si="47"/>
        <v>5998.9139610623997</v>
      </c>
      <c r="Q47" s="18">
        <f t="shared" si="48"/>
        <v>6047.7578201087999</v>
      </c>
      <c r="R47" s="18">
        <f t="shared" si="49"/>
        <v>6083.2806266879998</v>
      </c>
      <c r="S47" s="23">
        <f t="shared" ref="S47:S57" si="54">SUM(B47*1.308+B47*0.07)</f>
        <v>6118.8034332672005</v>
      </c>
      <c r="T47" s="18">
        <f t="shared" ref="T47:T57" si="55">AVERAGE(G47:J47)</f>
        <v>5565.9797558784003</v>
      </c>
      <c r="U47" s="18">
        <f>T47*12</f>
        <v>66791.7570705408</v>
      </c>
    </row>
    <row r="48" spans="1:21" x14ac:dyDescent="0.3">
      <c r="A48" s="17">
        <v>12</v>
      </c>
      <c r="B48" s="18">
        <v>4784.6239641599986</v>
      </c>
      <c r="C48" s="18">
        <f t="shared" si="50"/>
        <v>5507.1021827481582</v>
      </c>
      <c r="D48" s="18">
        <f t="shared" si="51"/>
        <v>5607.5792859955191</v>
      </c>
      <c r="E48" s="18">
        <f t="shared" si="52"/>
        <v>5712.8410132070385</v>
      </c>
      <c r="F48" s="18">
        <f t="shared" si="53"/>
        <v>5813.3181164543985</v>
      </c>
      <c r="G48" s="18">
        <f t="shared" si="38"/>
        <v>5904.2259717734378</v>
      </c>
      <c r="H48" s="18">
        <f t="shared" si="39"/>
        <v>5966.4260833075186</v>
      </c>
      <c r="I48" s="18">
        <f t="shared" si="40"/>
        <v>6028.6261948415977</v>
      </c>
      <c r="J48" s="18">
        <f t="shared" si="41"/>
        <v>6090.8263063756785</v>
      </c>
      <c r="K48" s="18">
        <f t="shared" si="42"/>
        <v>6153.0264179097576</v>
      </c>
      <c r="L48" s="18">
        <f t="shared" si="43"/>
        <v>6215.2265294438384</v>
      </c>
      <c r="M48" s="18">
        <f t="shared" si="44"/>
        <v>6277.4266409779184</v>
      </c>
      <c r="N48" s="18">
        <f t="shared" si="45"/>
        <v>6339.6267525119974</v>
      </c>
      <c r="O48" s="18">
        <f t="shared" si="46"/>
        <v>6401.8268640460783</v>
      </c>
      <c r="P48" s="18">
        <f t="shared" si="47"/>
        <v>6464.0269755801573</v>
      </c>
      <c r="Q48" s="18">
        <f t="shared" si="48"/>
        <v>6516.6578391859184</v>
      </c>
      <c r="R48" s="18">
        <f t="shared" si="49"/>
        <v>6554.9348308991985</v>
      </c>
      <c r="S48" s="23">
        <f t="shared" si="54"/>
        <v>6593.2118226124785</v>
      </c>
      <c r="T48" s="18">
        <f t="shared" si="55"/>
        <v>5997.5261390745582</v>
      </c>
      <c r="U48" s="18">
        <f t="shared" ref="U48:U57" si="56">T48*12</f>
        <v>71970.313668894698</v>
      </c>
    </row>
    <row r="49" spans="1:21" x14ac:dyDescent="0.3">
      <c r="A49" s="17">
        <v>13</v>
      </c>
      <c r="B49" s="18">
        <v>5028.0349107199991</v>
      </c>
      <c r="C49" s="18">
        <f t="shared" si="50"/>
        <v>5787.2681822387185</v>
      </c>
      <c r="D49" s="18">
        <f t="shared" si="51"/>
        <v>5892.8569153638391</v>
      </c>
      <c r="E49" s="18">
        <f t="shared" si="52"/>
        <v>6003.4736833996794</v>
      </c>
      <c r="F49" s="18">
        <f t="shared" si="53"/>
        <v>6109.0624165247991</v>
      </c>
      <c r="G49" s="18">
        <f t="shared" si="38"/>
        <v>6204.5950798284784</v>
      </c>
      <c r="H49" s="18">
        <f t="shared" si="39"/>
        <v>6269.9595336678394</v>
      </c>
      <c r="I49" s="18">
        <f t="shared" si="40"/>
        <v>6335.3239875071986</v>
      </c>
      <c r="J49" s="18">
        <f t="shared" si="41"/>
        <v>6400.6884413465586</v>
      </c>
      <c r="K49" s="18">
        <f t="shared" si="42"/>
        <v>6466.0528951859187</v>
      </c>
      <c r="L49" s="18">
        <f t="shared" si="43"/>
        <v>6531.4173490252788</v>
      </c>
      <c r="M49" s="18">
        <f t="shared" si="44"/>
        <v>6596.7818028646388</v>
      </c>
      <c r="N49" s="18">
        <f t="shared" si="45"/>
        <v>6662.146256703998</v>
      </c>
      <c r="O49" s="18">
        <f t="shared" si="46"/>
        <v>6727.510710543359</v>
      </c>
      <c r="P49" s="18">
        <f t="shared" si="47"/>
        <v>6792.8751643827181</v>
      </c>
      <c r="Q49" s="18">
        <f t="shared" si="48"/>
        <v>6848.1835484006388</v>
      </c>
      <c r="R49" s="18">
        <f t="shared" si="49"/>
        <v>6888.4078276863993</v>
      </c>
      <c r="S49" s="23">
        <f t="shared" si="54"/>
        <v>6928.6321069721589</v>
      </c>
      <c r="T49" s="18">
        <f t="shared" si="55"/>
        <v>6302.6417605875195</v>
      </c>
      <c r="U49" s="18">
        <f t="shared" si="56"/>
        <v>75631.701127050241</v>
      </c>
    </row>
    <row r="50" spans="1:21" x14ac:dyDescent="0.3">
      <c r="A50" s="17">
        <v>14</v>
      </c>
      <c r="B50" s="18">
        <v>5306.9885691617274</v>
      </c>
      <c r="C50" s="18">
        <f t="shared" si="50"/>
        <v>6108.3438431051482</v>
      </c>
      <c r="D50" s="18">
        <f t="shared" si="51"/>
        <v>6219.790603057545</v>
      </c>
      <c r="E50" s="18">
        <f t="shared" si="52"/>
        <v>6336.5443515791039</v>
      </c>
      <c r="F50" s="18">
        <f t="shared" si="53"/>
        <v>6447.991111531499</v>
      </c>
      <c r="G50" s="18">
        <f t="shared" si="38"/>
        <v>6548.8238943455717</v>
      </c>
      <c r="H50" s="18">
        <f t="shared" si="39"/>
        <v>6617.8147457446748</v>
      </c>
      <c r="I50" s="18">
        <f t="shared" si="40"/>
        <v>6686.805597143777</v>
      </c>
      <c r="J50" s="18">
        <f t="shared" si="41"/>
        <v>6755.7964485428802</v>
      </c>
      <c r="K50" s="18">
        <f t="shared" si="42"/>
        <v>6824.7872999419815</v>
      </c>
      <c r="L50" s="18">
        <f t="shared" si="43"/>
        <v>6893.7781513410846</v>
      </c>
      <c r="M50" s="18">
        <f t="shared" si="44"/>
        <v>6962.7690027401868</v>
      </c>
      <c r="N50" s="18">
        <f t="shared" si="45"/>
        <v>7031.759854139289</v>
      </c>
      <c r="O50" s="18">
        <f t="shared" si="46"/>
        <v>7100.7507055383921</v>
      </c>
      <c r="P50" s="18">
        <f t="shared" si="47"/>
        <v>7169.7415569374934</v>
      </c>
      <c r="Q50" s="18">
        <f t="shared" si="48"/>
        <v>7228.1184311982734</v>
      </c>
      <c r="R50" s="18">
        <f t="shared" si="49"/>
        <v>7270.5743397515671</v>
      </c>
      <c r="S50" s="23">
        <f t="shared" si="54"/>
        <v>7313.0302483048608</v>
      </c>
      <c r="T50" s="18">
        <f t="shared" si="55"/>
        <v>6652.3101714442255</v>
      </c>
      <c r="U50" s="18">
        <f t="shared" si="56"/>
        <v>79827.722057330713</v>
      </c>
    </row>
    <row r="51" spans="1:21" x14ac:dyDescent="0.3">
      <c r="A51" s="17">
        <v>15</v>
      </c>
      <c r="B51" s="18">
        <v>5336.1310927441928</v>
      </c>
      <c r="C51" s="18">
        <f t="shared" si="50"/>
        <v>6141.8868877485666</v>
      </c>
      <c r="D51" s="18">
        <f t="shared" si="51"/>
        <v>6253.9456406961945</v>
      </c>
      <c r="E51" s="18">
        <f t="shared" si="52"/>
        <v>6371.3405247365672</v>
      </c>
      <c r="F51" s="18">
        <f t="shared" si="53"/>
        <v>6483.3992776841951</v>
      </c>
      <c r="G51" s="18">
        <f t="shared" si="38"/>
        <v>6584.7857684463343</v>
      </c>
      <c r="H51" s="18">
        <f t="shared" si="39"/>
        <v>6654.1554726520089</v>
      </c>
      <c r="I51" s="18">
        <f t="shared" si="40"/>
        <v>6723.5251768576827</v>
      </c>
      <c r="J51" s="18">
        <f t="shared" si="41"/>
        <v>6792.8948810633583</v>
      </c>
      <c r="K51" s="18">
        <f t="shared" si="42"/>
        <v>6862.2645852690321</v>
      </c>
      <c r="L51" s="18">
        <f t="shared" si="43"/>
        <v>6931.6342894747077</v>
      </c>
      <c r="M51" s="18">
        <f t="shared" si="44"/>
        <v>7001.0039936803814</v>
      </c>
      <c r="N51" s="18">
        <f t="shared" si="45"/>
        <v>7070.3736978860552</v>
      </c>
      <c r="O51" s="18">
        <f t="shared" si="46"/>
        <v>7139.7434020917308</v>
      </c>
      <c r="P51" s="18">
        <f t="shared" si="47"/>
        <v>7209.1131062974046</v>
      </c>
      <c r="Q51" s="18">
        <f t="shared" si="48"/>
        <v>7267.8105483175914</v>
      </c>
      <c r="R51" s="18">
        <f t="shared" si="49"/>
        <v>7310.4995970595446</v>
      </c>
      <c r="S51" s="23">
        <f t="shared" si="54"/>
        <v>7353.1886458014988</v>
      </c>
      <c r="T51" s="18">
        <f t="shared" si="55"/>
        <v>6688.8403247548458</v>
      </c>
      <c r="U51" s="18">
        <f t="shared" si="56"/>
        <v>80266.083897058154</v>
      </c>
    </row>
    <row r="52" spans="1:21" x14ac:dyDescent="0.3">
      <c r="A52" s="17">
        <v>16</v>
      </c>
      <c r="B52" s="18">
        <v>5506.4656895999988</v>
      </c>
      <c r="C52" s="18">
        <f t="shared" si="50"/>
        <v>6337.9420087295985</v>
      </c>
      <c r="D52" s="18">
        <f t="shared" si="51"/>
        <v>6453.5777882111988</v>
      </c>
      <c r="E52" s="18">
        <f t="shared" si="52"/>
        <v>6574.7200333823994</v>
      </c>
      <c r="F52" s="18">
        <f t="shared" si="53"/>
        <v>6690.3558128639988</v>
      </c>
      <c r="G52" s="18">
        <f t="shared" si="38"/>
        <v>6794.9786609663979</v>
      </c>
      <c r="H52" s="18">
        <f t="shared" si="39"/>
        <v>6866.5627149311986</v>
      </c>
      <c r="I52" s="18">
        <f t="shared" si="40"/>
        <v>6938.1467688959983</v>
      </c>
      <c r="J52" s="18">
        <f t="shared" si="41"/>
        <v>7009.730822860799</v>
      </c>
      <c r="K52" s="18">
        <f t="shared" si="42"/>
        <v>7081.3148768255978</v>
      </c>
      <c r="L52" s="18">
        <f t="shared" si="43"/>
        <v>7152.8989307903985</v>
      </c>
      <c r="M52" s="18">
        <f t="shared" si="44"/>
        <v>7224.4829847551982</v>
      </c>
      <c r="N52" s="18">
        <f t="shared" si="45"/>
        <v>7296.067038719998</v>
      </c>
      <c r="O52" s="18">
        <f t="shared" si="46"/>
        <v>7367.6510926847986</v>
      </c>
      <c r="P52" s="18">
        <f t="shared" si="47"/>
        <v>7439.2351466495975</v>
      </c>
      <c r="Q52" s="18">
        <f t="shared" si="48"/>
        <v>7499.8062692351987</v>
      </c>
      <c r="R52" s="18">
        <f t="shared" si="49"/>
        <v>7543.8579947519984</v>
      </c>
      <c r="S52" s="23">
        <f t="shared" si="54"/>
        <v>7587.9097202687981</v>
      </c>
      <c r="T52" s="18">
        <f t="shared" si="55"/>
        <v>6902.3547419135984</v>
      </c>
      <c r="U52" s="18">
        <f t="shared" si="56"/>
        <v>82828.256902963185</v>
      </c>
    </row>
    <row r="53" spans="1:21" x14ac:dyDescent="0.3">
      <c r="A53" s="17">
        <v>17</v>
      </c>
      <c r="B53" s="18">
        <v>5934.3460154572804</v>
      </c>
      <c r="C53" s="18">
        <f t="shared" si="50"/>
        <v>6830.4322637913301</v>
      </c>
      <c r="D53" s="18">
        <f t="shared" si="51"/>
        <v>6955.0535301159334</v>
      </c>
      <c r="E53" s="18">
        <f t="shared" si="52"/>
        <v>7085.6091424559936</v>
      </c>
      <c r="F53" s="18">
        <f t="shared" si="53"/>
        <v>7210.230408780596</v>
      </c>
      <c r="G53" s="18">
        <f t="shared" si="38"/>
        <v>7322.9829830742838</v>
      </c>
      <c r="H53" s="18">
        <f t="shared" si="39"/>
        <v>7400.1294812752294</v>
      </c>
      <c r="I53" s="18">
        <f t="shared" si="40"/>
        <v>7477.2759794761732</v>
      </c>
      <c r="J53" s="18">
        <f t="shared" si="41"/>
        <v>7554.4224776771189</v>
      </c>
      <c r="K53" s="18">
        <f t="shared" si="42"/>
        <v>7631.5689758780627</v>
      </c>
      <c r="L53" s="18">
        <f t="shared" si="43"/>
        <v>7708.7154740790083</v>
      </c>
      <c r="M53" s="18">
        <f t="shared" si="44"/>
        <v>7785.8619722799522</v>
      </c>
      <c r="N53" s="18">
        <f t="shared" si="45"/>
        <v>7863.008470480896</v>
      </c>
      <c r="O53" s="18">
        <f t="shared" si="46"/>
        <v>7940.1549686818416</v>
      </c>
      <c r="P53" s="18">
        <f t="shared" si="47"/>
        <v>8017.3014668827855</v>
      </c>
      <c r="Q53" s="18">
        <f t="shared" si="48"/>
        <v>8082.5792730528165</v>
      </c>
      <c r="R53" s="18">
        <f t="shared" si="49"/>
        <v>8130.0540411764741</v>
      </c>
      <c r="S53" s="23">
        <f t="shared" si="54"/>
        <v>8177.5288093001327</v>
      </c>
      <c r="T53" s="18">
        <f t="shared" si="55"/>
        <v>7438.7027303757013</v>
      </c>
      <c r="U53" s="18">
        <f t="shared" si="56"/>
        <v>89264.432764508412</v>
      </c>
    </row>
    <row r="54" spans="1:21" x14ac:dyDescent="0.3">
      <c r="A54" s="17">
        <v>18</v>
      </c>
      <c r="B54" s="18">
        <v>6281.5636740904956</v>
      </c>
      <c r="C54" s="18">
        <f t="shared" si="50"/>
        <v>7230.0797888781599</v>
      </c>
      <c r="D54" s="18">
        <f t="shared" si="51"/>
        <v>7361.9926260340608</v>
      </c>
      <c r="E54" s="18">
        <f t="shared" si="52"/>
        <v>7500.1870268640523</v>
      </c>
      <c r="F54" s="18">
        <f t="shared" si="53"/>
        <v>7632.0998640199523</v>
      </c>
      <c r="G54" s="18">
        <f t="shared" si="38"/>
        <v>7751.449573827671</v>
      </c>
      <c r="H54" s="18">
        <f t="shared" si="39"/>
        <v>7833.1099015908485</v>
      </c>
      <c r="I54" s="18">
        <f t="shared" si="40"/>
        <v>7914.7702293540242</v>
      </c>
      <c r="J54" s="18">
        <f t="shared" si="41"/>
        <v>7996.4305571172008</v>
      </c>
      <c r="K54" s="18">
        <f t="shared" si="42"/>
        <v>8078.0908848803774</v>
      </c>
      <c r="L54" s="18">
        <f t="shared" si="43"/>
        <v>8159.751212643554</v>
      </c>
      <c r="M54" s="18">
        <f t="shared" si="44"/>
        <v>8241.4115404067306</v>
      </c>
      <c r="N54" s="18">
        <f t="shared" si="45"/>
        <v>8323.0718681699054</v>
      </c>
      <c r="O54" s="18">
        <f t="shared" si="46"/>
        <v>8404.7321959330839</v>
      </c>
      <c r="P54" s="18">
        <f t="shared" si="47"/>
        <v>8486.3925236962586</v>
      </c>
      <c r="Q54" s="18">
        <f t="shared" si="48"/>
        <v>8555.4897241112558</v>
      </c>
      <c r="R54" s="18">
        <f t="shared" si="49"/>
        <v>8605.7422335039792</v>
      </c>
      <c r="S54" s="23">
        <f t="shared" si="54"/>
        <v>8655.9947428967025</v>
      </c>
      <c r="T54" s="18">
        <f t="shared" si="55"/>
        <v>7873.9400654724359</v>
      </c>
      <c r="U54" s="18">
        <f t="shared" si="56"/>
        <v>94487.280785669223</v>
      </c>
    </row>
    <row r="55" spans="1:21" x14ac:dyDescent="0.3">
      <c r="A55" s="17">
        <v>19</v>
      </c>
      <c r="B55" s="18">
        <v>6466.2692966399991</v>
      </c>
      <c r="C55" s="18">
        <f t="shared" si="50"/>
        <v>7442.6759604326389</v>
      </c>
      <c r="D55" s="18">
        <f t="shared" si="51"/>
        <v>7578.467615662079</v>
      </c>
      <c r="E55" s="18">
        <f t="shared" si="52"/>
        <v>7720.7255401881594</v>
      </c>
      <c r="F55" s="18">
        <f t="shared" si="53"/>
        <v>7856.5171954175985</v>
      </c>
      <c r="G55" s="18">
        <f t="shared" si="38"/>
        <v>7979.3763120537578</v>
      </c>
      <c r="H55" s="18">
        <f t="shared" si="39"/>
        <v>8063.4378129100787</v>
      </c>
      <c r="I55" s="18">
        <f t="shared" si="40"/>
        <v>8147.4993137663987</v>
      </c>
      <c r="J55" s="18">
        <f t="shared" si="41"/>
        <v>8231.5608146227205</v>
      </c>
      <c r="K55" s="18">
        <f t="shared" si="42"/>
        <v>8315.6223154790387</v>
      </c>
      <c r="L55" s="18">
        <f t="shared" si="43"/>
        <v>8399.6838163353605</v>
      </c>
      <c r="M55" s="18">
        <f t="shared" si="44"/>
        <v>8483.7453171916786</v>
      </c>
      <c r="N55" s="18">
        <f t="shared" si="45"/>
        <v>8567.8068180479986</v>
      </c>
      <c r="O55" s="18">
        <f t="shared" si="46"/>
        <v>8651.8683189043204</v>
      </c>
      <c r="P55" s="18">
        <f t="shared" si="47"/>
        <v>8735.9298197606386</v>
      </c>
      <c r="Q55" s="18">
        <f t="shared" si="48"/>
        <v>8807.0587820236797</v>
      </c>
      <c r="R55" s="18">
        <f t="shared" si="49"/>
        <v>8858.7889363968006</v>
      </c>
      <c r="S55" s="23">
        <f t="shared" si="54"/>
        <v>8910.5190907699198</v>
      </c>
      <c r="T55" s="18">
        <f t="shared" si="55"/>
        <v>8105.4685633382387</v>
      </c>
      <c r="U55" s="18">
        <f t="shared" si="56"/>
        <v>97265.622760058861</v>
      </c>
    </row>
    <row r="56" spans="1:21" x14ac:dyDescent="0.3">
      <c r="A56" s="17">
        <v>20</v>
      </c>
      <c r="B56" s="18">
        <v>6716.1955053772808</v>
      </c>
      <c r="C56" s="18">
        <f t="shared" si="50"/>
        <v>7730.3410266892497</v>
      </c>
      <c r="D56" s="18">
        <f t="shared" si="51"/>
        <v>7871.3811323021737</v>
      </c>
      <c r="E56" s="18">
        <f t="shared" si="52"/>
        <v>8019.1374334204738</v>
      </c>
      <c r="F56" s="18">
        <f t="shared" si="53"/>
        <v>8160.177539033396</v>
      </c>
      <c r="G56" s="18">
        <f t="shared" si="38"/>
        <v>8287.785253635564</v>
      </c>
      <c r="H56" s="18">
        <f t="shared" si="39"/>
        <v>8375.0957952054705</v>
      </c>
      <c r="I56" s="18">
        <f t="shared" si="40"/>
        <v>8462.4063367753733</v>
      </c>
      <c r="J56" s="18">
        <f t="shared" si="41"/>
        <v>8549.7168783452798</v>
      </c>
      <c r="K56" s="18">
        <f t="shared" si="42"/>
        <v>8637.0274199151827</v>
      </c>
      <c r="L56" s="18">
        <f t="shared" si="43"/>
        <v>8724.3379614850892</v>
      </c>
      <c r="M56" s="18">
        <f t="shared" si="44"/>
        <v>8811.648503054992</v>
      </c>
      <c r="N56" s="18">
        <f t="shared" si="45"/>
        <v>8898.9590446248967</v>
      </c>
      <c r="O56" s="18">
        <f t="shared" si="46"/>
        <v>8986.2695861948014</v>
      </c>
      <c r="P56" s="18">
        <f t="shared" si="47"/>
        <v>9073.580127764706</v>
      </c>
      <c r="Q56" s="18">
        <f t="shared" si="48"/>
        <v>9147.4582783238566</v>
      </c>
      <c r="R56" s="18">
        <f t="shared" si="49"/>
        <v>9201.187842366875</v>
      </c>
      <c r="S56" s="23">
        <f t="shared" si="54"/>
        <v>9254.9174064098934</v>
      </c>
      <c r="T56" s="18">
        <f t="shared" si="55"/>
        <v>8418.7510659904219</v>
      </c>
      <c r="U56" s="18">
        <f t="shared" si="56"/>
        <v>101025.01279188506</v>
      </c>
    </row>
    <row r="57" spans="1:21" x14ac:dyDescent="0.3">
      <c r="A57" s="19">
        <v>21</v>
      </c>
      <c r="B57" s="20">
        <v>7003.6151250124794</v>
      </c>
      <c r="C57" s="20">
        <f t="shared" si="50"/>
        <v>8061.161008889364</v>
      </c>
      <c r="D57" s="20">
        <f t="shared" si="51"/>
        <v>8208.2369265146262</v>
      </c>
      <c r="E57" s="20">
        <f t="shared" si="52"/>
        <v>8362.3164592649009</v>
      </c>
      <c r="F57" s="20">
        <f t="shared" si="53"/>
        <v>8509.3923768901623</v>
      </c>
      <c r="G57" s="20">
        <f t="shared" si="38"/>
        <v>8642.4610642653988</v>
      </c>
      <c r="H57" s="20">
        <f t="shared" si="39"/>
        <v>8733.5080608905628</v>
      </c>
      <c r="I57" s="20">
        <f t="shared" si="40"/>
        <v>8824.5550575157231</v>
      </c>
      <c r="J57" s="20">
        <f t="shared" si="41"/>
        <v>8915.602054140887</v>
      </c>
      <c r="K57" s="20">
        <f t="shared" si="42"/>
        <v>9006.6490507660492</v>
      </c>
      <c r="L57" s="20">
        <f t="shared" si="43"/>
        <v>9097.6960473912113</v>
      </c>
      <c r="M57" s="20">
        <f t="shared" si="44"/>
        <v>9188.7430440163735</v>
      </c>
      <c r="N57" s="20">
        <f t="shared" si="45"/>
        <v>9279.7900406415338</v>
      </c>
      <c r="O57" s="20">
        <f t="shared" si="46"/>
        <v>9370.8370372666977</v>
      </c>
      <c r="P57" s="20">
        <f t="shared" si="47"/>
        <v>9461.8840338918599</v>
      </c>
      <c r="Q57" s="20">
        <f t="shared" si="48"/>
        <v>9538.9238002669972</v>
      </c>
      <c r="R57" s="20">
        <f t="shared" si="49"/>
        <v>9594.9527212670964</v>
      </c>
      <c r="S57" s="24">
        <f t="shared" si="54"/>
        <v>9650.9816422671975</v>
      </c>
      <c r="T57" s="20">
        <f t="shared" si="55"/>
        <v>8779.0315592031438</v>
      </c>
      <c r="U57" s="20">
        <f t="shared" si="56"/>
        <v>105348.37871043773</v>
      </c>
    </row>
    <row r="58" spans="1:21" x14ac:dyDescent="0.3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21" s="6" customFormat="1" x14ac:dyDescent="0.3">
      <c r="A59" s="54"/>
      <c r="B59" s="56"/>
      <c r="C59" s="56"/>
      <c r="D59" s="56"/>
      <c r="E59" s="56"/>
    </row>
    <row r="61" spans="1:21" ht="14.4" thickBot="1" x14ac:dyDescent="0.35">
      <c r="A61" s="6" t="s">
        <v>46</v>
      </c>
      <c r="B61" s="6"/>
      <c r="C61" s="6"/>
      <c r="D61" s="6"/>
      <c r="E61" s="6"/>
      <c r="F61" s="6"/>
      <c r="G61" s="6" t="str">
        <f>'[1]01082014 tarkentava ves'!G72</f>
        <v>18 - 22 år 11 månaders erfarenhet (erfarenhetsdel 12 %)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21" x14ac:dyDescent="0.3">
      <c r="T62" s="39" t="s">
        <v>7</v>
      </c>
      <c r="U62" s="40"/>
    </row>
    <row r="63" spans="1:21" ht="12.75" customHeight="1" x14ac:dyDescent="0.3">
      <c r="A63" s="45" t="s">
        <v>4</v>
      </c>
      <c r="B63" s="45" t="s">
        <v>5</v>
      </c>
      <c r="C63" s="51" t="str">
        <f>C6</f>
        <v>Suorituspisteet ja suoritustasot / Prestationspoäng och prestationsnivå</v>
      </c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3"/>
      <c r="T63" s="41"/>
      <c r="U63" s="42"/>
    </row>
    <row r="64" spans="1:21" ht="14.4" thickBot="1" x14ac:dyDescent="0.35">
      <c r="A64" s="46"/>
      <c r="B64" s="46"/>
      <c r="C64" s="10" t="s">
        <v>8</v>
      </c>
      <c r="D64" s="11" t="s">
        <v>9</v>
      </c>
      <c r="E64" s="10" t="s">
        <v>10</v>
      </c>
      <c r="F64" s="11" t="s">
        <v>11</v>
      </c>
      <c r="G64" s="10" t="s">
        <v>12</v>
      </c>
      <c r="H64" s="11" t="s">
        <v>13</v>
      </c>
      <c r="I64" s="10" t="s">
        <v>14</v>
      </c>
      <c r="J64" s="11" t="s">
        <v>15</v>
      </c>
      <c r="K64" s="10" t="s">
        <v>16</v>
      </c>
      <c r="L64" s="11" t="s">
        <v>17</v>
      </c>
      <c r="M64" s="10" t="s">
        <v>18</v>
      </c>
      <c r="N64" s="11" t="s">
        <v>19</v>
      </c>
      <c r="O64" s="10" t="s">
        <v>20</v>
      </c>
      <c r="P64" s="11" t="s">
        <v>21</v>
      </c>
      <c r="Q64" s="10" t="s">
        <v>22</v>
      </c>
      <c r="R64" s="11" t="s">
        <v>23</v>
      </c>
      <c r="S64" s="10" t="s">
        <v>24</v>
      </c>
      <c r="T64" s="43"/>
      <c r="U64" s="44"/>
    </row>
    <row r="65" spans="1:21" ht="39" customHeight="1" x14ac:dyDescent="0.3">
      <c r="A65" s="47"/>
      <c r="B65" s="47"/>
      <c r="C65" s="12" t="s">
        <v>25</v>
      </c>
      <c r="D65" s="13" t="s">
        <v>26</v>
      </c>
      <c r="E65" s="12" t="s">
        <v>27</v>
      </c>
      <c r="F65" s="13" t="s">
        <v>28</v>
      </c>
      <c r="G65" s="12" t="s">
        <v>29</v>
      </c>
      <c r="H65" s="13" t="s">
        <v>30</v>
      </c>
      <c r="I65" s="12" t="s">
        <v>31</v>
      </c>
      <c r="J65" s="13" t="s">
        <v>32</v>
      </c>
      <c r="K65" s="12" t="s">
        <v>33</v>
      </c>
      <c r="L65" s="13" t="s">
        <v>34</v>
      </c>
      <c r="M65" s="12" t="s">
        <v>35</v>
      </c>
      <c r="N65" s="13" t="s">
        <v>36</v>
      </c>
      <c r="O65" s="12" t="s">
        <v>37</v>
      </c>
      <c r="P65" s="13" t="s">
        <v>38</v>
      </c>
      <c r="Q65" s="12" t="s">
        <v>39</v>
      </c>
      <c r="R65" s="13" t="s">
        <v>40</v>
      </c>
      <c r="S65" s="12" t="s">
        <v>41</v>
      </c>
      <c r="T65" s="21" t="s">
        <v>42</v>
      </c>
      <c r="U65" s="22" t="s">
        <v>43</v>
      </c>
    </row>
    <row r="66" spans="1:21" x14ac:dyDescent="0.3">
      <c r="A66" s="17">
        <v>10</v>
      </c>
      <c r="B66" s="18">
        <v>3742.2670499999999</v>
      </c>
      <c r="C66" s="18">
        <f>SUM(B66*1.081+B66*0.12)</f>
        <v>4494.4627270499996</v>
      </c>
      <c r="D66" s="18">
        <f>SUM(B66*1.102+B66*0.12)</f>
        <v>4573.0503351000007</v>
      </c>
      <c r="E66" s="18">
        <f>SUM(B66*1.124+B66*0.12)</f>
        <v>4655.3802102000009</v>
      </c>
      <c r="F66" s="18">
        <f>SUM(B66*1.145+B66*0.12)</f>
        <v>4733.9678182500002</v>
      </c>
      <c r="G66" s="18">
        <f t="shared" ref="G66:G77" si="57">SUM(B66*1.164+B66*0.12)</f>
        <v>4805.0708921999994</v>
      </c>
      <c r="H66" s="18">
        <f t="shared" ref="H66:H77" si="58">SUM(B66*1.177+B66*0.12)</f>
        <v>4853.7203638500005</v>
      </c>
      <c r="I66" s="18">
        <f t="shared" ref="I66:I77" si="59">SUM(B66*1.19+B66*0.12)</f>
        <v>4902.3698354999997</v>
      </c>
      <c r="J66" s="18">
        <f t="shared" ref="J66:J77" si="60">SUM(B66*1.203+B66*0.12)</f>
        <v>4951.0193071500007</v>
      </c>
      <c r="K66" s="18">
        <f t="shared" ref="K66:K77" si="61">SUM(B66*1.216+B66*0.12)</f>
        <v>4999.6687787999999</v>
      </c>
      <c r="L66" s="18">
        <f t="shared" ref="L66:L77" si="62">SUM(B66*1.229+B66*0.12)</f>
        <v>5048.3182504500001</v>
      </c>
      <c r="M66" s="18">
        <f t="shared" ref="M66:M77" si="63">SUM(B66*1.242+B66*0.12)</f>
        <v>5096.9677221000002</v>
      </c>
      <c r="N66" s="18">
        <f t="shared" ref="N66:N77" si="64">SUM(B66*1.255+B66*0.12)</f>
        <v>5145.6171937499994</v>
      </c>
      <c r="O66" s="18">
        <f t="shared" ref="O66:O77" si="65">SUM(B66*1.268+B66*0.12)</f>
        <v>5194.2666654000004</v>
      </c>
      <c r="P66" s="18">
        <f t="shared" ref="P66:P77" si="66">SUM(B66*1.281+B66*0.12)</f>
        <v>5242.9161370499996</v>
      </c>
      <c r="Q66" s="18">
        <f t="shared" ref="Q66:Q77" si="67">SUM(B66*1.292+B66*0.12)</f>
        <v>5284.0810746000006</v>
      </c>
      <c r="R66" s="18">
        <f t="shared" ref="R66:R77" si="68">SUM(B66*1.3+B66*0.12)</f>
        <v>5314.0192110000007</v>
      </c>
      <c r="S66" s="23">
        <f>SUM(B66*1.308+B66*0.12)</f>
        <v>5343.9573473999999</v>
      </c>
      <c r="T66" s="18">
        <f>AVERAGE(G66:J66)</f>
        <v>4878.0450996750005</v>
      </c>
      <c r="U66" s="18">
        <f>T66*12</f>
        <v>58536.541196100006</v>
      </c>
    </row>
    <row r="67" spans="1:21" x14ac:dyDescent="0.3">
      <c r="A67" s="17">
        <v>11</v>
      </c>
      <c r="B67" s="18">
        <v>4440.3508223999997</v>
      </c>
      <c r="C67" s="18">
        <f t="shared" ref="C67:C77" si="69">SUM(B67*1.081+B67*0.12)</f>
        <v>5332.8613377023994</v>
      </c>
      <c r="D67" s="18">
        <f t="shared" ref="D67:D77" si="70">SUM(B67*1.102+B67*0.12)</f>
        <v>5426.1087049728003</v>
      </c>
      <c r="E67" s="18">
        <f t="shared" ref="E67:E77" si="71">SUM(B67*1.124+B67*0.12)</f>
        <v>5523.7964230656007</v>
      </c>
      <c r="F67" s="18">
        <f t="shared" ref="F67:F77" si="72">SUM(B67*1.145+B67*0.12)</f>
        <v>5617.0437903359998</v>
      </c>
      <c r="G67" s="18">
        <f t="shared" si="57"/>
        <v>5701.4104559615998</v>
      </c>
      <c r="H67" s="18">
        <f t="shared" si="58"/>
        <v>5759.1350166528</v>
      </c>
      <c r="I67" s="18">
        <f t="shared" si="59"/>
        <v>5816.8595773439993</v>
      </c>
      <c r="J67" s="18">
        <f t="shared" si="60"/>
        <v>5874.5841380352003</v>
      </c>
      <c r="K67" s="18">
        <f t="shared" si="61"/>
        <v>5932.3086987263996</v>
      </c>
      <c r="L67" s="18">
        <f t="shared" si="62"/>
        <v>5990.0332594175998</v>
      </c>
      <c r="M67" s="18">
        <f t="shared" si="63"/>
        <v>6047.7578201087999</v>
      </c>
      <c r="N67" s="18">
        <f t="shared" si="64"/>
        <v>6105.4823807999992</v>
      </c>
      <c r="O67" s="18">
        <f t="shared" si="65"/>
        <v>6163.2069414912003</v>
      </c>
      <c r="P67" s="18">
        <f t="shared" si="66"/>
        <v>6220.9315021823995</v>
      </c>
      <c r="Q67" s="18">
        <f t="shared" si="67"/>
        <v>6269.7753612287997</v>
      </c>
      <c r="R67" s="18">
        <f t="shared" si="68"/>
        <v>6305.2981678079996</v>
      </c>
      <c r="S67" s="23">
        <f t="shared" ref="S67:S77" si="73">SUM(B67*1.308+B67*0.12)</f>
        <v>6340.8209743872003</v>
      </c>
      <c r="T67" s="18">
        <f t="shared" ref="T67:T77" si="74">AVERAGE(G67:J67)</f>
        <v>5787.9972969983992</v>
      </c>
      <c r="U67" s="18">
        <f>T67*12</f>
        <v>69455.967563980783</v>
      </c>
    </row>
    <row r="68" spans="1:21" x14ac:dyDescent="0.3">
      <c r="A68" s="17">
        <v>12</v>
      </c>
      <c r="B68" s="18">
        <v>4784.6239641599986</v>
      </c>
      <c r="C68" s="18">
        <f t="shared" si="69"/>
        <v>5746.3333809561582</v>
      </c>
      <c r="D68" s="18">
        <f t="shared" si="70"/>
        <v>5846.8104842035191</v>
      </c>
      <c r="E68" s="18">
        <f t="shared" si="71"/>
        <v>5952.0722114150385</v>
      </c>
      <c r="F68" s="18">
        <f t="shared" si="72"/>
        <v>6052.5493146623985</v>
      </c>
      <c r="G68" s="18">
        <f t="shared" si="57"/>
        <v>6143.4571699814378</v>
      </c>
      <c r="H68" s="18">
        <f t="shared" si="58"/>
        <v>6205.6572815155187</v>
      </c>
      <c r="I68" s="18">
        <f t="shared" si="59"/>
        <v>6267.8573930495977</v>
      </c>
      <c r="J68" s="18">
        <f t="shared" si="60"/>
        <v>6330.0575045836786</v>
      </c>
      <c r="K68" s="18">
        <f t="shared" si="61"/>
        <v>6392.2576161177576</v>
      </c>
      <c r="L68" s="18">
        <f t="shared" si="62"/>
        <v>6454.4577276518385</v>
      </c>
      <c r="M68" s="18">
        <f t="shared" si="63"/>
        <v>6516.6578391859184</v>
      </c>
      <c r="N68" s="18">
        <f t="shared" si="64"/>
        <v>6578.8579507199975</v>
      </c>
      <c r="O68" s="18">
        <f t="shared" si="65"/>
        <v>6641.0580622540783</v>
      </c>
      <c r="P68" s="18">
        <f t="shared" si="66"/>
        <v>6703.2581737881574</v>
      </c>
      <c r="Q68" s="18">
        <f t="shared" si="67"/>
        <v>6755.8890373939184</v>
      </c>
      <c r="R68" s="18">
        <f t="shared" si="68"/>
        <v>6794.1660291071985</v>
      </c>
      <c r="S68" s="23">
        <f t="shared" si="73"/>
        <v>6832.4430208204785</v>
      </c>
      <c r="T68" s="18">
        <f t="shared" si="74"/>
        <v>6236.7573372825582</v>
      </c>
      <c r="U68" s="18">
        <f t="shared" ref="U68:U77" si="75">T68*12</f>
        <v>74841.088047390702</v>
      </c>
    </row>
    <row r="69" spans="1:21" x14ac:dyDescent="0.3">
      <c r="A69" s="17">
        <v>13</v>
      </c>
      <c r="B69" s="18">
        <v>5028.0349107199991</v>
      </c>
      <c r="C69" s="18">
        <f t="shared" si="69"/>
        <v>6038.6699277747184</v>
      </c>
      <c r="D69" s="18">
        <f t="shared" si="70"/>
        <v>6144.258660899839</v>
      </c>
      <c r="E69" s="18">
        <f t="shared" si="71"/>
        <v>6254.8754289356793</v>
      </c>
      <c r="F69" s="18">
        <f t="shared" si="72"/>
        <v>6360.464162060799</v>
      </c>
      <c r="G69" s="18">
        <f t="shared" si="57"/>
        <v>6455.9968253644784</v>
      </c>
      <c r="H69" s="18">
        <f t="shared" si="58"/>
        <v>6521.3612792038393</v>
      </c>
      <c r="I69" s="18">
        <f t="shared" si="59"/>
        <v>6586.7257330431985</v>
      </c>
      <c r="J69" s="18">
        <f t="shared" si="60"/>
        <v>6652.0901868825586</v>
      </c>
      <c r="K69" s="18">
        <f t="shared" si="61"/>
        <v>6717.4546407219186</v>
      </c>
      <c r="L69" s="18">
        <f t="shared" si="62"/>
        <v>6782.8190945612787</v>
      </c>
      <c r="M69" s="18">
        <f t="shared" si="63"/>
        <v>6848.1835484006388</v>
      </c>
      <c r="N69" s="18">
        <f t="shared" si="64"/>
        <v>6913.5480022399979</v>
      </c>
      <c r="O69" s="18">
        <f t="shared" si="65"/>
        <v>6978.9124560793589</v>
      </c>
      <c r="P69" s="18">
        <f t="shared" si="66"/>
        <v>7044.276909918718</v>
      </c>
      <c r="Q69" s="18">
        <f t="shared" si="67"/>
        <v>7099.5852939366387</v>
      </c>
      <c r="R69" s="18">
        <f t="shared" si="68"/>
        <v>7139.8095732223992</v>
      </c>
      <c r="S69" s="23">
        <f t="shared" si="73"/>
        <v>7180.0338525081588</v>
      </c>
      <c r="T69" s="18">
        <f t="shared" si="74"/>
        <v>6554.0435061235185</v>
      </c>
      <c r="U69" s="18">
        <f t="shared" si="75"/>
        <v>78648.522073482221</v>
      </c>
    </row>
    <row r="70" spans="1:21" x14ac:dyDescent="0.3">
      <c r="A70" s="17">
        <v>14</v>
      </c>
      <c r="B70" s="18">
        <v>5306.9885691617274</v>
      </c>
      <c r="C70" s="18">
        <f t="shared" si="69"/>
        <v>6373.6932715632338</v>
      </c>
      <c r="D70" s="18">
        <f t="shared" si="70"/>
        <v>6485.1400315156307</v>
      </c>
      <c r="E70" s="18">
        <f t="shared" si="71"/>
        <v>6601.8937800371896</v>
      </c>
      <c r="F70" s="18">
        <f t="shared" si="72"/>
        <v>6713.3405399895846</v>
      </c>
      <c r="G70" s="18">
        <f t="shared" si="57"/>
        <v>6814.1733228036574</v>
      </c>
      <c r="H70" s="18">
        <f t="shared" si="58"/>
        <v>6883.1641742027605</v>
      </c>
      <c r="I70" s="18">
        <f t="shared" si="59"/>
        <v>6952.1550256018627</v>
      </c>
      <c r="J70" s="18">
        <f t="shared" si="60"/>
        <v>7021.1458770009658</v>
      </c>
      <c r="K70" s="18">
        <f t="shared" si="61"/>
        <v>7090.1367284000671</v>
      </c>
      <c r="L70" s="18">
        <f t="shared" si="62"/>
        <v>7159.1275797991702</v>
      </c>
      <c r="M70" s="18">
        <f t="shared" si="63"/>
        <v>7228.1184311982724</v>
      </c>
      <c r="N70" s="18">
        <f t="shared" si="64"/>
        <v>7297.1092825973747</v>
      </c>
      <c r="O70" s="18">
        <f t="shared" si="65"/>
        <v>7366.1001339964778</v>
      </c>
      <c r="P70" s="18">
        <f t="shared" si="66"/>
        <v>7435.0909853955791</v>
      </c>
      <c r="Q70" s="18">
        <f t="shared" si="67"/>
        <v>7493.467859656359</v>
      </c>
      <c r="R70" s="18">
        <f t="shared" si="68"/>
        <v>7535.9237682096527</v>
      </c>
      <c r="S70" s="23">
        <f t="shared" si="73"/>
        <v>7578.3796767629465</v>
      </c>
      <c r="T70" s="18">
        <f t="shared" si="74"/>
        <v>6917.659599902312</v>
      </c>
      <c r="U70" s="18">
        <f t="shared" si="75"/>
        <v>83011.915198827744</v>
      </c>
    </row>
    <row r="71" spans="1:21" x14ac:dyDescent="0.3">
      <c r="A71" s="17">
        <v>15</v>
      </c>
      <c r="B71" s="18">
        <v>5336.1310927441928</v>
      </c>
      <c r="C71" s="18">
        <f t="shared" si="69"/>
        <v>6408.6934423857756</v>
      </c>
      <c r="D71" s="18">
        <f t="shared" si="70"/>
        <v>6520.7521953334035</v>
      </c>
      <c r="E71" s="18">
        <f t="shared" si="71"/>
        <v>6638.1470793737763</v>
      </c>
      <c r="F71" s="18">
        <f t="shared" si="72"/>
        <v>6750.2058323214042</v>
      </c>
      <c r="G71" s="18">
        <f t="shared" si="57"/>
        <v>6851.5923230835433</v>
      </c>
      <c r="H71" s="18">
        <f t="shared" si="58"/>
        <v>6920.962027289218</v>
      </c>
      <c r="I71" s="18">
        <f t="shared" si="59"/>
        <v>6990.3317314948918</v>
      </c>
      <c r="J71" s="18">
        <f t="shared" si="60"/>
        <v>7059.7014357005673</v>
      </c>
      <c r="K71" s="18">
        <f t="shared" si="61"/>
        <v>7129.0711399062411</v>
      </c>
      <c r="L71" s="18">
        <f t="shared" si="62"/>
        <v>7198.4408441119167</v>
      </c>
      <c r="M71" s="18">
        <f t="shared" si="63"/>
        <v>7267.8105483175905</v>
      </c>
      <c r="N71" s="18">
        <f t="shared" si="64"/>
        <v>7337.1802525232642</v>
      </c>
      <c r="O71" s="18">
        <f t="shared" si="65"/>
        <v>7406.5499567289398</v>
      </c>
      <c r="P71" s="18">
        <f t="shared" si="66"/>
        <v>7475.9196609346136</v>
      </c>
      <c r="Q71" s="18">
        <f t="shared" si="67"/>
        <v>7534.6171029548004</v>
      </c>
      <c r="R71" s="18">
        <f t="shared" si="68"/>
        <v>7577.3061516967537</v>
      </c>
      <c r="S71" s="23">
        <f t="shared" si="73"/>
        <v>7619.9952004387078</v>
      </c>
      <c r="T71" s="18">
        <f t="shared" si="74"/>
        <v>6955.6468793920549</v>
      </c>
      <c r="U71" s="18">
        <f t="shared" si="75"/>
        <v>83467.762552704662</v>
      </c>
    </row>
    <row r="72" spans="1:21" x14ac:dyDescent="0.3">
      <c r="A72" s="17">
        <v>16</v>
      </c>
      <c r="B72" s="18">
        <v>5506.4656895999988</v>
      </c>
      <c r="C72" s="18">
        <f t="shared" si="69"/>
        <v>6613.2652932095989</v>
      </c>
      <c r="D72" s="18">
        <f t="shared" si="70"/>
        <v>6728.9010726911993</v>
      </c>
      <c r="E72" s="18">
        <f t="shared" si="71"/>
        <v>6850.0433178623998</v>
      </c>
      <c r="F72" s="18">
        <f t="shared" si="72"/>
        <v>6965.6790973439993</v>
      </c>
      <c r="G72" s="18">
        <f t="shared" si="57"/>
        <v>7070.3019454463983</v>
      </c>
      <c r="H72" s="18">
        <f t="shared" si="58"/>
        <v>7141.885999411199</v>
      </c>
      <c r="I72" s="18">
        <f t="shared" si="59"/>
        <v>7213.4700533759988</v>
      </c>
      <c r="J72" s="18">
        <f t="shared" si="60"/>
        <v>7285.0541073407994</v>
      </c>
      <c r="K72" s="18">
        <f t="shared" si="61"/>
        <v>7356.6381613055983</v>
      </c>
      <c r="L72" s="18">
        <f t="shared" si="62"/>
        <v>7428.2222152703989</v>
      </c>
      <c r="M72" s="18">
        <f t="shared" si="63"/>
        <v>7499.8062692351987</v>
      </c>
      <c r="N72" s="18">
        <f t="shared" si="64"/>
        <v>7571.3903231999984</v>
      </c>
      <c r="O72" s="18">
        <f t="shared" si="65"/>
        <v>7642.9743771647991</v>
      </c>
      <c r="P72" s="18">
        <f t="shared" si="66"/>
        <v>7714.5584311295979</v>
      </c>
      <c r="Q72" s="18">
        <f t="shared" si="67"/>
        <v>7775.1295537151991</v>
      </c>
      <c r="R72" s="18">
        <f t="shared" si="68"/>
        <v>7819.1812792319988</v>
      </c>
      <c r="S72" s="23">
        <f t="shared" si="73"/>
        <v>7863.2330047487985</v>
      </c>
      <c r="T72" s="18">
        <f t="shared" si="74"/>
        <v>7177.6780263935989</v>
      </c>
      <c r="U72" s="18">
        <f t="shared" si="75"/>
        <v>86132.13631672319</v>
      </c>
    </row>
    <row r="73" spans="1:21" x14ac:dyDescent="0.3">
      <c r="A73" s="17">
        <v>17</v>
      </c>
      <c r="B73" s="18">
        <v>5934.3460154572804</v>
      </c>
      <c r="C73" s="18">
        <f t="shared" si="69"/>
        <v>7127.1495645641935</v>
      </c>
      <c r="D73" s="18">
        <f t="shared" si="70"/>
        <v>7251.7708308887977</v>
      </c>
      <c r="E73" s="18">
        <f t="shared" si="71"/>
        <v>7382.3264432288579</v>
      </c>
      <c r="F73" s="18">
        <f t="shared" si="72"/>
        <v>7506.9477095534603</v>
      </c>
      <c r="G73" s="18">
        <f t="shared" si="57"/>
        <v>7619.7002838471471</v>
      </c>
      <c r="H73" s="18">
        <f t="shared" si="58"/>
        <v>7696.8467820480928</v>
      </c>
      <c r="I73" s="18">
        <f t="shared" si="59"/>
        <v>7773.9932802490366</v>
      </c>
      <c r="J73" s="18">
        <f t="shared" si="60"/>
        <v>7851.1397784499823</v>
      </c>
      <c r="K73" s="18">
        <f t="shared" si="61"/>
        <v>7928.2862766509261</v>
      </c>
      <c r="L73" s="18">
        <f t="shared" si="62"/>
        <v>8005.4327748518717</v>
      </c>
      <c r="M73" s="18">
        <f t="shared" si="63"/>
        <v>8082.5792730528156</v>
      </c>
      <c r="N73" s="18">
        <f t="shared" si="64"/>
        <v>8159.7257712537594</v>
      </c>
      <c r="O73" s="18">
        <f t="shared" si="65"/>
        <v>8236.872269454705</v>
      </c>
      <c r="P73" s="18">
        <f t="shared" si="66"/>
        <v>8314.0187676556488</v>
      </c>
      <c r="Q73" s="18">
        <f t="shared" si="67"/>
        <v>8379.2965738256808</v>
      </c>
      <c r="R73" s="18">
        <f t="shared" si="68"/>
        <v>8426.7713419493375</v>
      </c>
      <c r="S73" s="23">
        <f t="shared" si="73"/>
        <v>8474.2461100729961</v>
      </c>
      <c r="T73" s="18">
        <f t="shared" si="74"/>
        <v>7735.4200311485647</v>
      </c>
      <c r="U73" s="18">
        <f t="shared" si="75"/>
        <v>92825.040373782773</v>
      </c>
    </row>
    <row r="74" spans="1:21" x14ac:dyDescent="0.3">
      <c r="A74" s="17">
        <v>18</v>
      </c>
      <c r="B74" s="18">
        <v>6281.5636740904956</v>
      </c>
      <c r="C74" s="18">
        <f t="shared" si="69"/>
        <v>7544.157972582685</v>
      </c>
      <c r="D74" s="18">
        <f t="shared" si="70"/>
        <v>7676.0708097385859</v>
      </c>
      <c r="E74" s="18">
        <f t="shared" si="71"/>
        <v>7814.2652105685775</v>
      </c>
      <c r="F74" s="18">
        <f t="shared" si="72"/>
        <v>7946.1780477244774</v>
      </c>
      <c r="G74" s="18">
        <f t="shared" si="57"/>
        <v>8065.5277575321961</v>
      </c>
      <c r="H74" s="18">
        <f t="shared" si="58"/>
        <v>8147.1880852953736</v>
      </c>
      <c r="I74" s="18">
        <f t="shared" si="59"/>
        <v>8228.8484130585493</v>
      </c>
      <c r="J74" s="18">
        <f t="shared" si="60"/>
        <v>8310.508740821726</v>
      </c>
      <c r="K74" s="18">
        <f t="shared" si="61"/>
        <v>8392.1690685849026</v>
      </c>
      <c r="L74" s="18">
        <f t="shared" si="62"/>
        <v>8473.8293963480792</v>
      </c>
      <c r="M74" s="18">
        <f t="shared" si="63"/>
        <v>8555.489724111254</v>
      </c>
      <c r="N74" s="18">
        <f t="shared" si="64"/>
        <v>8637.1500518744306</v>
      </c>
      <c r="O74" s="18">
        <f t="shared" si="65"/>
        <v>8718.8103796376072</v>
      </c>
      <c r="P74" s="18">
        <f t="shared" si="66"/>
        <v>8800.4707074007838</v>
      </c>
      <c r="Q74" s="18">
        <f t="shared" si="67"/>
        <v>8869.5679078157791</v>
      </c>
      <c r="R74" s="18">
        <f t="shared" si="68"/>
        <v>8919.8204172085043</v>
      </c>
      <c r="S74" s="23">
        <f t="shared" si="73"/>
        <v>8970.0729266012277</v>
      </c>
      <c r="T74" s="18">
        <f t="shared" si="74"/>
        <v>8188.018249176961</v>
      </c>
      <c r="U74" s="18">
        <f t="shared" si="75"/>
        <v>98256.21899012354</v>
      </c>
    </row>
    <row r="75" spans="1:21" x14ac:dyDescent="0.3">
      <c r="A75" s="17">
        <v>19</v>
      </c>
      <c r="B75" s="18">
        <v>6466.2692966399991</v>
      </c>
      <c r="C75" s="18">
        <f t="shared" si="69"/>
        <v>7765.9894252646391</v>
      </c>
      <c r="D75" s="18">
        <f t="shared" si="70"/>
        <v>7901.7810804940791</v>
      </c>
      <c r="E75" s="18">
        <f t="shared" si="71"/>
        <v>8044.0390050201595</v>
      </c>
      <c r="F75" s="18">
        <f t="shared" si="72"/>
        <v>8179.8306602495986</v>
      </c>
      <c r="G75" s="18">
        <f t="shared" si="57"/>
        <v>8302.689776885758</v>
      </c>
      <c r="H75" s="18">
        <f t="shared" si="58"/>
        <v>8386.7512777420779</v>
      </c>
      <c r="I75" s="18">
        <f t="shared" si="59"/>
        <v>8470.8127785983979</v>
      </c>
      <c r="J75" s="18">
        <f t="shared" si="60"/>
        <v>8554.8742794547197</v>
      </c>
      <c r="K75" s="18">
        <f t="shared" si="61"/>
        <v>8638.9357803110379</v>
      </c>
      <c r="L75" s="18">
        <f t="shared" si="62"/>
        <v>8722.9972811673597</v>
      </c>
      <c r="M75" s="18">
        <f t="shared" si="63"/>
        <v>8807.0587820236778</v>
      </c>
      <c r="N75" s="18">
        <f t="shared" si="64"/>
        <v>8891.1202828799978</v>
      </c>
      <c r="O75" s="18">
        <f t="shared" si="65"/>
        <v>8975.1817837363196</v>
      </c>
      <c r="P75" s="18">
        <f t="shared" si="66"/>
        <v>9059.2432845926378</v>
      </c>
      <c r="Q75" s="18">
        <f t="shared" si="67"/>
        <v>9130.3722468556789</v>
      </c>
      <c r="R75" s="18">
        <f t="shared" si="68"/>
        <v>9182.1024012287999</v>
      </c>
      <c r="S75" s="23">
        <f t="shared" si="73"/>
        <v>9233.832555601919</v>
      </c>
      <c r="T75" s="18">
        <f t="shared" si="74"/>
        <v>8428.7820281702388</v>
      </c>
      <c r="U75" s="18">
        <f t="shared" si="75"/>
        <v>101145.38433804287</v>
      </c>
    </row>
    <row r="76" spans="1:21" x14ac:dyDescent="0.3">
      <c r="A76" s="17">
        <v>20</v>
      </c>
      <c r="B76" s="18">
        <v>6716.1955053772808</v>
      </c>
      <c r="C76" s="18">
        <f t="shared" si="69"/>
        <v>8066.1508019581142</v>
      </c>
      <c r="D76" s="18">
        <f t="shared" si="70"/>
        <v>8207.1909075710373</v>
      </c>
      <c r="E76" s="18">
        <f t="shared" si="71"/>
        <v>8354.9472086893384</v>
      </c>
      <c r="F76" s="18">
        <f t="shared" si="72"/>
        <v>8495.9873143022596</v>
      </c>
      <c r="G76" s="18">
        <f t="shared" si="57"/>
        <v>8623.5950289044285</v>
      </c>
      <c r="H76" s="18">
        <f t="shared" si="58"/>
        <v>8710.9055704743332</v>
      </c>
      <c r="I76" s="18">
        <f t="shared" si="59"/>
        <v>8798.2161120442379</v>
      </c>
      <c r="J76" s="18">
        <f t="shared" si="60"/>
        <v>8885.5266536141426</v>
      </c>
      <c r="K76" s="18">
        <f t="shared" si="61"/>
        <v>8972.8371951840472</v>
      </c>
      <c r="L76" s="18">
        <f t="shared" si="62"/>
        <v>9060.1477367539537</v>
      </c>
      <c r="M76" s="18">
        <f t="shared" si="63"/>
        <v>9147.4582783238566</v>
      </c>
      <c r="N76" s="18">
        <f t="shared" si="64"/>
        <v>9234.7688198937612</v>
      </c>
      <c r="O76" s="18">
        <f t="shared" si="65"/>
        <v>9322.0793614636659</v>
      </c>
      <c r="P76" s="18">
        <f t="shared" si="66"/>
        <v>9409.3899030335706</v>
      </c>
      <c r="Q76" s="18">
        <f t="shared" si="67"/>
        <v>9483.2680535927211</v>
      </c>
      <c r="R76" s="18">
        <f t="shared" si="68"/>
        <v>9536.9976176357395</v>
      </c>
      <c r="S76" s="23">
        <f t="shared" si="73"/>
        <v>9590.7271816787579</v>
      </c>
      <c r="T76" s="18">
        <f t="shared" si="74"/>
        <v>8754.5608412592865</v>
      </c>
      <c r="U76" s="18">
        <f t="shared" si="75"/>
        <v>105054.73009511144</v>
      </c>
    </row>
    <row r="77" spans="1:21" x14ac:dyDescent="0.3">
      <c r="A77" s="19">
        <v>21</v>
      </c>
      <c r="B77" s="20">
        <v>7003.6151250124794</v>
      </c>
      <c r="C77" s="20">
        <f t="shared" si="69"/>
        <v>8411.3417651399886</v>
      </c>
      <c r="D77" s="20">
        <f t="shared" si="70"/>
        <v>8558.41768276525</v>
      </c>
      <c r="E77" s="20">
        <f t="shared" si="71"/>
        <v>8712.4972155155247</v>
      </c>
      <c r="F77" s="20">
        <f t="shared" si="72"/>
        <v>8859.573133140786</v>
      </c>
      <c r="G77" s="20">
        <f t="shared" si="57"/>
        <v>8992.6418205160226</v>
      </c>
      <c r="H77" s="20">
        <f t="shared" si="58"/>
        <v>9083.6888171411865</v>
      </c>
      <c r="I77" s="20">
        <f t="shared" si="59"/>
        <v>9174.7358137663468</v>
      </c>
      <c r="J77" s="20">
        <f t="shared" si="60"/>
        <v>9265.7828103915108</v>
      </c>
      <c r="K77" s="20">
        <f t="shared" si="61"/>
        <v>9356.8298070166729</v>
      </c>
      <c r="L77" s="20">
        <f t="shared" si="62"/>
        <v>9447.8768036418351</v>
      </c>
      <c r="M77" s="20">
        <f t="shared" si="63"/>
        <v>9538.9238002669972</v>
      </c>
      <c r="N77" s="20">
        <f t="shared" si="64"/>
        <v>9629.9707968921575</v>
      </c>
      <c r="O77" s="20">
        <f t="shared" si="65"/>
        <v>9721.0177935173215</v>
      </c>
      <c r="P77" s="20">
        <f t="shared" si="66"/>
        <v>9812.0647901424836</v>
      </c>
      <c r="Q77" s="20">
        <f t="shared" si="67"/>
        <v>9889.1045565176209</v>
      </c>
      <c r="R77" s="20">
        <f t="shared" si="68"/>
        <v>9945.1334775177202</v>
      </c>
      <c r="S77" s="24">
        <f t="shared" si="73"/>
        <v>10001.162398517821</v>
      </c>
      <c r="T77" s="20">
        <f t="shared" si="74"/>
        <v>9129.2123154537658</v>
      </c>
      <c r="U77" s="20">
        <f t="shared" si="75"/>
        <v>109550.54778544519</v>
      </c>
    </row>
    <row r="79" spans="1:21" ht="14.4" thickBot="1" x14ac:dyDescent="0.35">
      <c r="A79" s="6" t="s">
        <v>47</v>
      </c>
      <c r="B79" s="6"/>
      <c r="C79" s="6"/>
      <c r="D79" s="6"/>
      <c r="E79" s="6"/>
      <c r="F79" s="6"/>
      <c r="G79" s="6" t="str">
        <f>'[1]01082014 tarkentava ves'!G92</f>
        <v>minst 23 års erfarenhet (erfarenhetsdel 16 %)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21" x14ac:dyDescent="0.3">
      <c r="T80" s="39" t="s">
        <v>7</v>
      </c>
      <c r="U80" s="40"/>
    </row>
    <row r="81" spans="1:21" ht="12.75" customHeight="1" x14ac:dyDescent="0.3">
      <c r="A81" s="45" t="s">
        <v>4</v>
      </c>
      <c r="B81" s="45" t="s">
        <v>5</v>
      </c>
      <c r="C81" s="51" t="str">
        <f>C6</f>
        <v>Suorituspisteet ja suoritustasot / Prestationspoäng och prestationsnivå</v>
      </c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3"/>
      <c r="T81" s="41"/>
      <c r="U81" s="42"/>
    </row>
    <row r="82" spans="1:21" ht="14.4" thickBot="1" x14ac:dyDescent="0.35">
      <c r="A82" s="46"/>
      <c r="B82" s="46"/>
      <c r="C82" s="10" t="s">
        <v>8</v>
      </c>
      <c r="D82" s="11" t="s">
        <v>9</v>
      </c>
      <c r="E82" s="10" t="s">
        <v>10</v>
      </c>
      <c r="F82" s="11" t="s">
        <v>11</v>
      </c>
      <c r="G82" s="10" t="s">
        <v>12</v>
      </c>
      <c r="H82" s="11" t="s">
        <v>13</v>
      </c>
      <c r="I82" s="10" t="s">
        <v>14</v>
      </c>
      <c r="J82" s="11" t="s">
        <v>15</v>
      </c>
      <c r="K82" s="10" t="s">
        <v>16</v>
      </c>
      <c r="L82" s="11" t="s">
        <v>17</v>
      </c>
      <c r="M82" s="10" t="s">
        <v>18</v>
      </c>
      <c r="N82" s="11" t="s">
        <v>19</v>
      </c>
      <c r="O82" s="10" t="s">
        <v>20</v>
      </c>
      <c r="P82" s="11" t="s">
        <v>21</v>
      </c>
      <c r="Q82" s="10" t="s">
        <v>22</v>
      </c>
      <c r="R82" s="11" t="s">
        <v>23</v>
      </c>
      <c r="S82" s="10" t="s">
        <v>24</v>
      </c>
      <c r="T82" s="43"/>
      <c r="U82" s="44"/>
    </row>
    <row r="83" spans="1:21" ht="41.25" customHeight="1" x14ac:dyDescent="0.3">
      <c r="A83" s="47"/>
      <c r="B83" s="47"/>
      <c r="C83" s="12" t="s">
        <v>25</v>
      </c>
      <c r="D83" s="13" t="s">
        <v>26</v>
      </c>
      <c r="E83" s="12" t="s">
        <v>27</v>
      </c>
      <c r="F83" s="13" t="s">
        <v>28</v>
      </c>
      <c r="G83" s="12" t="s">
        <v>29</v>
      </c>
      <c r="H83" s="13" t="s">
        <v>30</v>
      </c>
      <c r="I83" s="12" t="s">
        <v>31</v>
      </c>
      <c r="J83" s="13" t="s">
        <v>32</v>
      </c>
      <c r="K83" s="12" t="s">
        <v>33</v>
      </c>
      <c r="L83" s="13" t="s">
        <v>34</v>
      </c>
      <c r="M83" s="12" t="s">
        <v>35</v>
      </c>
      <c r="N83" s="13" t="s">
        <v>36</v>
      </c>
      <c r="O83" s="12" t="s">
        <v>37</v>
      </c>
      <c r="P83" s="13" t="s">
        <v>38</v>
      </c>
      <c r="Q83" s="12" t="s">
        <v>39</v>
      </c>
      <c r="R83" s="13" t="s">
        <v>40</v>
      </c>
      <c r="S83" s="12" t="s">
        <v>41</v>
      </c>
      <c r="T83" s="21" t="s">
        <v>42</v>
      </c>
      <c r="U83" s="22" t="s">
        <v>43</v>
      </c>
    </row>
    <row r="84" spans="1:21" x14ac:dyDescent="0.3">
      <c r="A84" s="17">
        <v>10</v>
      </c>
      <c r="B84" s="18">
        <v>3742.2670499999999</v>
      </c>
      <c r="C84" s="18">
        <f>SUM(B84*1.081+B84*0.16)</f>
        <v>4644.1534090499999</v>
      </c>
      <c r="D84" s="18">
        <f>SUM(B84*1.102+B84*0.16)</f>
        <v>4722.7410171000001</v>
      </c>
      <c r="E84" s="18">
        <f>SUM(B84*1.124+B84*0.16)</f>
        <v>4805.0708922000003</v>
      </c>
      <c r="F84" s="18">
        <f>SUM(B84*1.145+B84*0.16)</f>
        <v>4883.6585002499996</v>
      </c>
      <c r="G84" s="18">
        <f t="shared" ref="G84:G95" si="76">SUM(B84*1.164+B84*0.16)</f>
        <v>4954.7615741999989</v>
      </c>
      <c r="H84" s="18">
        <f t="shared" ref="H84:H95" si="77">SUM(B84*1.177+B84*0.16)</f>
        <v>5003.4110458499999</v>
      </c>
      <c r="I84" s="18">
        <f t="shared" ref="I84:I95" si="78">SUM(B84*1.19+B84*0.16)</f>
        <v>5052.0605174999992</v>
      </c>
      <c r="J84" s="18">
        <f t="shared" ref="J84:J95" si="79">SUM(B84*1.203+B84*0.16)</f>
        <v>5100.7099891500002</v>
      </c>
      <c r="K84" s="18">
        <f t="shared" ref="K84:K95" si="80">SUM(B84*1.216+B84*0.16)</f>
        <v>5149.3594607999994</v>
      </c>
      <c r="L84" s="18">
        <f t="shared" ref="L84:L94" si="81">SUM(B84*1.229+B84*0.16)</f>
        <v>5198.0089324499995</v>
      </c>
      <c r="M84" s="18">
        <f t="shared" ref="M84:M95" si="82">SUM(B84*1.242+B84*0.16)</f>
        <v>5246.6584040999996</v>
      </c>
      <c r="N84" s="18">
        <f t="shared" ref="N84:N95" si="83">SUM(B84*1.255+B84*0.16)</f>
        <v>5295.3078757499989</v>
      </c>
      <c r="O84" s="18">
        <f t="shared" ref="O84:O95" si="84">SUM(B84*1.268+B84*0.16)</f>
        <v>5343.9573473999999</v>
      </c>
      <c r="P84" s="18">
        <f t="shared" ref="P84:P95" si="85">SUM(B84*1.281+B84*0.16)</f>
        <v>5392.6068190499991</v>
      </c>
      <c r="Q84" s="18">
        <f t="shared" ref="Q84:Q95" si="86">SUM(B84*1.292+B84*0.16)</f>
        <v>5433.7717566000001</v>
      </c>
      <c r="R84" s="18">
        <f t="shared" ref="R84:R95" si="87">SUM(B84*1.3+B84*0.16)</f>
        <v>5463.7098930000002</v>
      </c>
      <c r="S84" s="23">
        <f>SUM(B84*1.308+B84*0.16)</f>
        <v>5493.6480293999994</v>
      </c>
      <c r="T84" s="18">
        <f>AVERAGE(G84:J84)</f>
        <v>5027.7357816749991</v>
      </c>
      <c r="U84" s="18">
        <f>T84*12</f>
        <v>60332.829380099989</v>
      </c>
    </row>
    <row r="85" spans="1:21" x14ac:dyDescent="0.3">
      <c r="A85" s="17">
        <v>11</v>
      </c>
      <c r="B85" s="18">
        <v>4440.3508223999997</v>
      </c>
      <c r="C85" s="18">
        <f t="shared" ref="C85:C95" si="88">SUM(B85*1.081+B85*0.16)</f>
        <v>5510.4753705983994</v>
      </c>
      <c r="D85" s="18">
        <f t="shared" ref="D85:D95" si="89">SUM(B85*1.102+B85*0.16)</f>
        <v>5603.7227378688003</v>
      </c>
      <c r="E85" s="18">
        <f t="shared" ref="E85:E95" si="90">SUM(B85*1.124+B85*0.16)</f>
        <v>5701.4104559616007</v>
      </c>
      <c r="F85" s="18">
        <f t="shared" ref="F85:F95" si="91">SUM(B85*1.145+B85*0.16)</f>
        <v>5794.6578232319998</v>
      </c>
      <c r="G85" s="18">
        <f t="shared" si="76"/>
        <v>5879.0244888575999</v>
      </c>
      <c r="H85" s="18">
        <f t="shared" si="77"/>
        <v>5936.7490495488</v>
      </c>
      <c r="I85" s="18">
        <f t="shared" si="78"/>
        <v>5994.4736102399993</v>
      </c>
      <c r="J85" s="18">
        <f t="shared" si="79"/>
        <v>6052.1981709312004</v>
      </c>
      <c r="K85" s="18">
        <f t="shared" si="80"/>
        <v>6109.9227316223996</v>
      </c>
      <c r="L85" s="18">
        <f t="shared" si="81"/>
        <v>6167.6472923135998</v>
      </c>
      <c r="M85" s="18">
        <f t="shared" si="82"/>
        <v>6225.3718530048</v>
      </c>
      <c r="N85" s="18">
        <f t="shared" si="83"/>
        <v>6283.0964136959992</v>
      </c>
      <c r="O85" s="18">
        <f t="shared" si="84"/>
        <v>6340.8209743872003</v>
      </c>
      <c r="P85" s="18">
        <f t="shared" si="85"/>
        <v>6398.5455350783996</v>
      </c>
      <c r="Q85" s="18">
        <f t="shared" si="86"/>
        <v>6447.3893941247998</v>
      </c>
      <c r="R85" s="18">
        <f t="shared" si="87"/>
        <v>6482.9122007039996</v>
      </c>
      <c r="S85" s="23">
        <f t="shared" ref="S85:S95" si="92">SUM(B85*1.308+B85*0.16)</f>
        <v>6518.4350072832003</v>
      </c>
      <c r="T85" s="18">
        <f t="shared" ref="T85:T95" si="93">AVERAGE(G85:J85)</f>
        <v>5965.6113298944001</v>
      </c>
      <c r="U85" s="18">
        <f>T85*12</f>
        <v>71587.335958732801</v>
      </c>
    </row>
    <row r="86" spans="1:21" x14ac:dyDescent="0.3">
      <c r="A86" s="17">
        <v>12</v>
      </c>
      <c r="B86" s="18">
        <v>4784.6239641599986</v>
      </c>
      <c r="C86" s="18">
        <f t="shared" si="88"/>
        <v>5937.7183395225584</v>
      </c>
      <c r="D86" s="18">
        <f t="shared" si="89"/>
        <v>6038.1954427699193</v>
      </c>
      <c r="E86" s="18">
        <f t="shared" si="90"/>
        <v>6143.4571699814387</v>
      </c>
      <c r="F86" s="18">
        <f t="shared" si="91"/>
        <v>6243.9342732287987</v>
      </c>
      <c r="G86" s="18">
        <f t="shared" si="76"/>
        <v>6334.842128547838</v>
      </c>
      <c r="H86" s="18">
        <f t="shared" si="77"/>
        <v>6397.0422400819189</v>
      </c>
      <c r="I86" s="18">
        <f t="shared" si="78"/>
        <v>6459.2423516159979</v>
      </c>
      <c r="J86" s="18">
        <f t="shared" si="79"/>
        <v>6521.4424631500788</v>
      </c>
      <c r="K86" s="18">
        <f t="shared" si="80"/>
        <v>6583.6425746841578</v>
      </c>
      <c r="L86" s="18">
        <f t="shared" si="81"/>
        <v>6645.8426862182387</v>
      </c>
      <c r="M86" s="18">
        <f t="shared" si="82"/>
        <v>6708.0427977523186</v>
      </c>
      <c r="N86" s="18">
        <f t="shared" si="83"/>
        <v>6770.2429092863977</v>
      </c>
      <c r="O86" s="18">
        <f t="shared" si="84"/>
        <v>6832.4430208204785</v>
      </c>
      <c r="P86" s="18">
        <f t="shared" si="85"/>
        <v>6894.6431323545576</v>
      </c>
      <c r="Q86" s="18">
        <f t="shared" si="86"/>
        <v>6947.2739959603186</v>
      </c>
      <c r="R86" s="18">
        <f t="shared" si="87"/>
        <v>6985.5509876735987</v>
      </c>
      <c r="S86" s="23">
        <f t="shared" si="92"/>
        <v>7023.8279793868787</v>
      </c>
      <c r="T86" s="18">
        <f t="shared" si="93"/>
        <v>6428.1422958489584</v>
      </c>
      <c r="U86" s="18">
        <f t="shared" ref="U86:U95" si="94">T86*12</f>
        <v>77137.707550187508</v>
      </c>
    </row>
    <row r="87" spans="1:21" x14ac:dyDescent="0.3">
      <c r="A87" s="17">
        <v>13</v>
      </c>
      <c r="B87" s="18">
        <v>5028.0349107199991</v>
      </c>
      <c r="C87" s="18">
        <f t="shared" si="88"/>
        <v>6239.7913242035183</v>
      </c>
      <c r="D87" s="18">
        <f t="shared" si="89"/>
        <v>6345.3800573286389</v>
      </c>
      <c r="E87" s="18">
        <f t="shared" si="90"/>
        <v>6455.9968253644793</v>
      </c>
      <c r="F87" s="18">
        <f t="shared" si="91"/>
        <v>6561.585558489599</v>
      </c>
      <c r="G87" s="18">
        <f t="shared" si="76"/>
        <v>6657.1182217932783</v>
      </c>
      <c r="H87" s="18">
        <f t="shared" si="77"/>
        <v>6722.4826756326393</v>
      </c>
      <c r="I87" s="18">
        <f t="shared" si="78"/>
        <v>6787.8471294719984</v>
      </c>
      <c r="J87" s="18">
        <f t="shared" si="79"/>
        <v>6853.2115833113585</v>
      </c>
      <c r="K87" s="18">
        <f t="shared" si="80"/>
        <v>6918.5760371507185</v>
      </c>
      <c r="L87" s="18">
        <f t="shared" si="81"/>
        <v>6983.9404909900786</v>
      </c>
      <c r="M87" s="18">
        <f t="shared" si="82"/>
        <v>7049.3049448294387</v>
      </c>
      <c r="N87" s="18">
        <f t="shared" si="83"/>
        <v>7114.6693986687978</v>
      </c>
      <c r="O87" s="18">
        <f t="shared" si="84"/>
        <v>7180.0338525081588</v>
      </c>
      <c r="P87" s="18">
        <f t="shared" si="85"/>
        <v>7245.398306347518</v>
      </c>
      <c r="Q87" s="18">
        <f t="shared" si="86"/>
        <v>7300.7066903654386</v>
      </c>
      <c r="R87" s="18">
        <f t="shared" si="87"/>
        <v>7340.9309696511991</v>
      </c>
      <c r="S87" s="23">
        <f t="shared" si="92"/>
        <v>7381.1552489369587</v>
      </c>
      <c r="T87" s="18">
        <f t="shared" si="93"/>
        <v>6755.1649025523184</v>
      </c>
      <c r="U87" s="18">
        <f t="shared" si="94"/>
        <v>81061.978830627821</v>
      </c>
    </row>
    <row r="88" spans="1:21" x14ac:dyDescent="0.3">
      <c r="A88" s="17">
        <v>14</v>
      </c>
      <c r="B88" s="18">
        <v>5306.9885691617274</v>
      </c>
      <c r="C88" s="18">
        <f t="shared" si="88"/>
        <v>6585.9728143297034</v>
      </c>
      <c r="D88" s="18">
        <f t="shared" si="89"/>
        <v>6697.4195742821003</v>
      </c>
      <c r="E88" s="18">
        <f t="shared" si="90"/>
        <v>6814.1733228036592</v>
      </c>
      <c r="F88" s="18">
        <f t="shared" si="91"/>
        <v>6925.6200827560542</v>
      </c>
      <c r="G88" s="18">
        <f t="shared" si="76"/>
        <v>7026.452865570127</v>
      </c>
      <c r="H88" s="18">
        <f t="shared" si="77"/>
        <v>7095.4437169692301</v>
      </c>
      <c r="I88" s="18">
        <f t="shared" si="78"/>
        <v>7164.4345683683323</v>
      </c>
      <c r="J88" s="18">
        <f t="shared" si="79"/>
        <v>7233.4254197674354</v>
      </c>
      <c r="K88" s="18">
        <f t="shared" si="80"/>
        <v>7302.4162711665367</v>
      </c>
      <c r="L88" s="18">
        <f t="shared" si="81"/>
        <v>7371.4071225656398</v>
      </c>
      <c r="M88" s="18">
        <f t="shared" si="82"/>
        <v>7440.3979739647421</v>
      </c>
      <c r="N88" s="18">
        <f t="shared" si="83"/>
        <v>7509.3888253638443</v>
      </c>
      <c r="O88" s="18">
        <f t="shared" si="84"/>
        <v>7578.3796767629474</v>
      </c>
      <c r="P88" s="18">
        <f t="shared" si="85"/>
        <v>7647.3705281620487</v>
      </c>
      <c r="Q88" s="18">
        <f t="shared" si="86"/>
        <v>7705.7474024228286</v>
      </c>
      <c r="R88" s="18">
        <f t="shared" si="87"/>
        <v>7748.2033109761223</v>
      </c>
      <c r="S88" s="23">
        <f t="shared" si="92"/>
        <v>7790.6592195294161</v>
      </c>
      <c r="T88" s="18">
        <f t="shared" si="93"/>
        <v>7129.9391426687807</v>
      </c>
      <c r="U88" s="18">
        <f t="shared" si="94"/>
        <v>85559.269712025372</v>
      </c>
    </row>
    <row r="89" spans="1:21" x14ac:dyDescent="0.3">
      <c r="A89" s="17">
        <v>15</v>
      </c>
      <c r="B89" s="18">
        <v>5336.1310927441928</v>
      </c>
      <c r="C89" s="18">
        <f t="shared" si="88"/>
        <v>6622.1386860955436</v>
      </c>
      <c r="D89" s="18">
        <f t="shared" si="89"/>
        <v>6734.1974390431715</v>
      </c>
      <c r="E89" s="18">
        <f t="shared" si="90"/>
        <v>6851.5923230835442</v>
      </c>
      <c r="F89" s="18">
        <f t="shared" si="91"/>
        <v>6963.6510760311721</v>
      </c>
      <c r="G89" s="18">
        <f t="shared" si="76"/>
        <v>7065.0375667933113</v>
      </c>
      <c r="H89" s="18">
        <f t="shared" si="77"/>
        <v>7134.407270998986</v>
      </c>
      <c r="I89" s="18">
        <f t="shared" si="78"/>
        <v>7203.7769752046597</v>
      </c>
      <c r="J89" s="18">
        <f t="shared" si="79"/>
        <v>7273.1466794103353</v>
      </c>
      <c r="K89" s="18">
        <f t="shared" si="80"/>
        <v>7342.5163836160091</v>
      </c>
      <c r="L89" s="18">
        <f t="shared" si="81"/>
        <v>7411.8860878216847</v>
      </c>
      <c r="M89" s="18">
        <f t="shared" si="82"/>
        <v>7481.2557920273584</v>
      </c>
      <c r="N89" s="18">
        <f t="shared" si="83"/>
        <v>7550.6254962330322</v>
      </c>
      <c r="O89" s="18">
        <f t="shared" si="84"/>
        <v>7619.9952004387078</v>
      </c>
      <c r="P89" s="18">
        <f t="shared" si="85"/>
        <v>7689.3649046443816</v>
      </c>
      <c r="Q89" s="18">
        <f t="shared" si="86"/>
        <v>7748.0623466645684</v>
      </c>
      <c r="R89" s="18">
        <f t="shared" si="87"/>
        <v>7790.7513954065216</v>
      </c>
      <c r="S89" s="23">
        <f t="shared" si="92"/>
        <v>7833.4404441484758</v>
      </c>
      <c r="T89" s="18">
        <f t="shared" si="93"/>
        <v>7169.0921231018228</v>
      </c>
      <c r="U89" s="18">
        <f t="shared" si="94"/>
        <v>86029.105477221878</v>
      </c>
    </row>
    <row r="90" spans="1:21" x14ac:dyDescent="0.3">
      <c r="A90" s="17">
        <v>16</v>
      </c>
      <c r="B90" s="18">
        <v>5506.4656895999988</v>
      </c>
      <c r="C90" s="18">
        <f t="shared" si="88"/>
        <v>6833.5239207935983</v>
      </c>
      <c r="D90" s="18">
        <f t="shared" si="89"/>
        <v>6949.1597002751987</v>
      </c>
      <c r="E90" s="18">
        <f t="shared" si="90"/>
        <v>7070.3019454463993</v>
      </c>
      <c r="F90" s="18">
        <f t="shared" si="91"/>
        <v>7185.9377249279987</v>
      </c>
      <c r="G90" s="18">
        <f t="shared" si="76"/>
        <v>7290.5605730303978</v>
      </c>
      <c r="H90" s="18">
        <f t="shared" si="77"/>
        <v>7362.1446269951985</v>
      </c>
      <c r="I90" s="18">
        <f t="shared" si="78"/>
        <v>7433.7286809599982</v>
      </c>
      <c r="J90" s="18">
        <f t="shared" si="79"/>
        <v>7505.3127349247989</v>
      </c>
      <c r="K90" s="18">
        <f t="shared" si="80"/>
        <v>7576.8967888895977</v>
      </c>
      <c r="L90" s="18">
        <f t="shared" si="81"/>
        <v>7648.4808428543984</v>
      </c>
      <c r="M90" s="18">
        <f t="shared" si="82"/>
        <v>7720.0648968191981</v>
      </c>
      <c r="N90" s="18">
        <f t="shared" si="83"/>
        <v>7791.6489507839979</v>
      </c>
      <c r="O90" s="18">
        <f t="shared" si="84"/>
        <v>7863.2330047487985</v>
      </c>
      <c r="P90" s="18">
        <f t="shared" si="85"/>
        <v>7934.8170587135974</v>
      </c>
      <c r="Q90" s="18">
        <f t="shared" si="86"/>
        <v>7995.3881812991985</v>
      </c>
      <c r="R90" s="18">
        <f t="shared" si="87"/>
        <v>8039.4399068159983</v>
      </c>
      <c r="S90" s="23">
        <f t="shared" si="92"/>
        <v>8083.491632332798</v>
      </c>
      <c r="T90" s="18">
        <f t="shared" si="93"/>
        <v>7397.9366539775983</v>
      </c>
      <c r="U90" s="18">
        <f t="shared" si="94"/>
        <v>88775.23984773118</v>
      </c>
    </row>
    <row r="91" spans="1:21" x14ac:dyDescent="0.3">
      <c r="A91" s="17">
        <v>17</v>
      </c>
      <c r="B91" s="18">
        <v>5934.3460154572804</v>
      </c>
      <c r="C91" s="18">
        <f t="shared" si="88"/>
        <v>7364.5234051824855</v>
      </c>
      <c r="D91" s="18">
        <f t="shared" si="89"/>
        <v>7489.1446715070888</v>
      </c>
      <c r="E91" s="18">
        <f t="shared" si="90"/>
        <v>7619.700283847149</v>
      </c>
      <c r="F91" s="18">
        <f t="shared" si="91"/>
        <v>7744.3215501717514</v>
      </c>
      <c r="G91" s="18">
        <f t="shared" si="76"/>
        <v>7857.0741244654391</v>
      </c>
      <c r="H91" s="18">
        <f t="shared" si="77"/>
        <v>7934.2206226663848</v>
      </c>
      <c r="I91" s="18">
        <f t="shared" si="78"/>
        <v>8011.3671208673286</v>
      </c>
      <c r="J91" s="18">
        <f t="shared" si="79"/>
        <v>8088.5136190682742</v>
      </c>
      <c r="K91" s="18">
        <f t="shared" si="80"/>
        <v>8165.6601172692181</v>
      </c>
      <c r="L91" s="18">
        <f t="shared" si="81"/>
        <v>8242.8066154701628</v>
      </c>
      <c r="M91" s="18">
        <f t="shared" si="82"/>
        <v>8319.9531136711066</v>
      </c>
      <c r="N91" s="18">
        <f t="shared" si="83"/>
        <v>8397.0996118720504</v>
      </c>
      <c r="O91" s="18">
        <f t="shared" si="84"/>
        <v>8474.2461100729961</v>
      </c>
      <c r="P91" s="18">
        <f t="shared" si="85"/>
        <v>8551.3926082739399</v>
      </c>
      <c r="Q91" s="18">
        <f t="shared" si="86"/>
        <v>8616.6704144439718</v>
      </c>
      <c r="R91" s="18">
        <f t="shared" si="87"/>
        <v>8664.1451825676286</v>
      </c>
      <c r="S91" s="23">
        <f t="shared" si="92"/>
        <v>8711.6199506912872</v>
      </c>
      <c r="T91" s="18">
        <f t="shared" si="93"/>
        <v>7972.7938717668567</v>
      </c>
      <c r="U91" s="18">
        <f t="shared" si="94"/>
        <v>95673.526461202273</v>
      </c>
    </row>
    <row r="92" spans="1:21" x14ac:dyDescent="0.3">
      <c r="A92" s="17">
        <v>18</v>
      </c>
      <c r="B92" s="18">
        <v>6281.5636740904956</v>
      </c>
      <c r="C92" s="18">
        <f t="shared" si="88"/>
        <v>7795.4205195463046</v>
      </c>
      <c r="D92" s="18">
        <f t="shared" si="89"/>
        <v>7927.3333567022055</v>
      </c>
      <c r="E92" s="18">
        <f t="shared" si="90"/>
        <v>8065.527757532197</v>
      </c>
      <c r="F92" s="18">
        <f t="shared" si="91"/>
        <v>8197.4405946880979</v>
      </c>
      <c r="G92" s="18">
        <f t="shared" si="76"/>
        <v>8316.7903044958166</v>
      </c>
      <c r="H92" s="18">
        <f t="shared" si="77"/>
        <v>8398.4506322589932</v>
      </c>
      <c r="I92" s="18">
        <f t="shared" si="78"/>
        <v>8480.1109600221698</v>
      </c>
      <c r="J92" s="18">
        <f t="shared" si="79"/>
        <v>8561.7712877853464</v>
      </c>
      <c r="K92" s="18">
        <f t="shared" si="80"/>
        <v>8643.431615548523</v>
      </c>
      <c r="L92" s="18">
        <f t="shared" si="81"/>
        <v>8725.0919433116997</v>
      </c>
      <c r="M92" s="18">
        <f t="shared" si="82"/>
        <v>8806.7522710748744</v>
      </c>
      <c r="N92" s="18">
        <f t="shared" si="83"/>
        <v>8888.4125988380511</v>
      </c>
      <c r="O92" s="18">
        <f t="shared" si="84"/>
        <v>8970.0729266012277</v>
      </c>
      <c r="P92" s="18">
        <f t="shared" si="85"/>
        <v>9051.7332543644043</v>
      </c>
      <c r="Q92" s="18">
        <f t="shared" si="86"/>
        <v>9120.8304547793996</v>
      </c>
      <c r="R92" s="18">
        <f t="shared" si="87"/>
        <v>9171.0829641721248</v>
      </c>
      <c r="S92" s="23">
        <f t="shared" si="92"/>
        <v>9221.3354735648481</v>
      </c>
      <c r="T92" s="18">
        <f t="shared" si="93"/>
        <v>8439.2807961405815</v>
      </c>
      <c r="U92" s="18">
        <f t="shared" si="94"/>
        <v>101271.36955368698</v>
      </c>
    </row>
    <row r="93" spans="1:21" x14ac:dyDescent="0.3">
      <c r="A93" s="17">
        <v>19</v>
      </c>
      <c r="B93" s="18">
        <v>6466.2692966399991</v>
      </c>
      <c r="C93" s="18">
        <f t="shared" si="88"/>
        <v>8024.6401971302384</v>
      </c>
      <c r="D93" s="18">
        <f t="shared" si="89"/>
        <v>8160.4318523596794</v>
      </c>
      <c r="E93" s="18">
        <f t="shared" si="90"/>
        <v>8302.6897768857598</v>
      </c>
      <c r="F93" s="18">
        <f t="shared" si="91"/>
        <v>8438.4814321151989</v>
      </c>
      <c r="G93" s="18">
        <f t="shared" si="76"/>
        <v>8561.3405487513573</v>
      </c>
      <c r="H93" s="18">
        <f t="shared" si="77"/>
        <v>8645.4020496076791</v>
      </c>
      <c r="I93" s="18">
        <f t="shared" si="78"/>
        <v>8729.4635504639991</v>
      </c>
      <c r="J93" s="18">
        <f t="shared" si="79"/>
        <v>8813.5250513203191</v>
      </c>
      <c r="K93" s="18">
        <f t="shared" si="80"/>
        <v>8897.5865521766391</v>
      </c>
      <c r="L93" s="18">
        <f t="shared" si="81"/>
        <v>8981.6480530329591</v>
      </c>
      <c r="M93" s="18">
        <f t="shared" si="82"/>
        <v>9065.7095538892791</v>
      </c>
      <c r="N93" s="18">
        <f t="shared" si="83"/>
        <v>9149.7710547455972</v>
      </c>
      <c r="O93" s="18">
        <f t="shared" si="84"/>
        <v>9233.832555601919</v>
      </c>
      <c r="P93" s="18">
        <f t="shared" si="85"/>
        <v>9317.8940564582372</v>
      </c>
      <c r="Q93" s="18">
        <f t="shared" si="86"/>
        <v>9389.0230187212783</v>
      </c>
      <c r="R93" s="18">
        <f t="shared" si="87"/>
        <v>9440.7531730943992</v>
      </c>
      <c r="S93" s="23">
        <f t="shared" si="92"/>
        <v>9492.4833274675184</v>
      </c>
      <c r="T93" s="18">
        <f t="shared" si="93"/>
        <v>8687.4328000358382</v>
      </c>
      <c r="U93" s="18">
        <f t="shared" si="94"/>
        <v>104249.19360043007</v>
      </c>
    </row>
    <row r="94" spans="1:21" x14ac:dyDescent="0.3">
      <c r="A94" s="17">
        <v>20</v>
      </c>
      <c r="B94" s="18">
        <v>6716.1955053772808</v>
      </c>
      <c r="C94" s="18">
        <f t="shared" si="88"/>
        <v>8334.7986221732044</v>
      </c>
      <c r="D94" s="18">
        <f t="shared" si="89"/>
        <v>8475.8387277861293</v>
      </c>
      <c r="E94" s="18">
        <f t="shared" si="90"/>
        <v>8623.5950289044285</v>
      </c>
      <c r="F94" s="18">
        <f t="shared" si="91"/>
        <v>8764.6351345173516</v>
      </c>
      <c r="G94" s="18">
        <f t="shared" si="76"/>
        <v>8892.2428491195187</v>
      </c>
      <c r="H94" s="18">
        <f t="shared" si="77"/>
        <v>8979.5533906894252</v>
      </c>
      <c r="I94" s="18">
        <f t="shared" si="78"/>
        <v>9066.8639322593281</v>
      </c>
      <c r="J94" s="18">
        <f t="shared" si="79"/>
        <v>9154.1744738292346</v>
      </c>
      <c r="K94" s="18">
        <f t="shared" si="80"/>
        <v>9241.4850153991374</v>
      </c>
      <c r="L94" s="18">
        <f t="shared" si="81"/>
        <v>9328.7955569690439</v>
      </c>
      <c r="M94" s="18">
        <f t="shared" si="82"/>
        <v>9416.1060985389468</v>
      </c>
      <c r="N94" s="18">
        <f t="shared" si="83"/>
        <v>9503.4166401088514</v>
      </c>
      <c r="O94" s="18">
        <f t="shared" si="84"/>
        <v>9590.7271816787561</v>
      </c>
      <c r="P94" s="18">
        <f t="shared" si="85"/>
        <v>9678.0377232486608</v>
      </c>
      <c r="Q94" s="18">
        <f t="shared" si="86"/>
        <v>9751.9158738078113</v>
      </c>
      <c r="R94" s="18">
        <f t="shared" si="87"/>
        <v>9805.6454378508297</v>
      </c>
      <c r="S94" s="23">
        <f t="shared" si="92"/>
        <v>9859.3750018938481</v>
      </c>
      <c r="T94" s="18">
        <f t="shared" si="93"/>
        <v>9023.2086614743766</v>
      </c>
      <c r="U94" s="18">
        <f t="shared" si="94"/>
        <v>108278.50393769253</v>
      </c>
    </row>
    <row r="95" spans="1:21" x14ac:dyDescent="0.3">
      <c r="A95" s="19">
        <v>21</v>
      </c>
      <c r="B95" s="20">
        <v>7003.6151250124794</v>
      </c>
      <c r="C95" s="20">
        <f t="shared" si="88"/>
        <v>8691.4863701404865</v>
      </c>
      <c r="D95" s="20">
        <f t="shared" si="89"/>
        <v>8838.5622877657497</v>
      </c>
      <c r="E95" s="20">
        <f t="shared" si="90"/>
        <v>8992.6418205160244</v>
      </c>
      <c r="F95" s="20">
        <f t="shared" si="91"/>
        <v>9139.7177381412857</v>
      </c>
      <c r="G95" s="20">
        <f t="shared" si="76"/>
        <v>9272.7864255165223</v>
      </c>
      <c r="H95" s="20">
        <f t="shared" si="77"/>
        <v>9363.8334221416862</v>
      </c>
      <c r="I95" s="20">
        <f t="shared" si="78"/>
        <v>9454.8804187668466</v>
      </c>
      <c r="J95" s="20">
        <f t="shared" si="79"/>
        <v>9545.9274153920105</v>
      </c>
      <c r="K95" s="20">
        <f t="shared" si="80"/>
        <v>9636.9744120171727</v>
      </c>
      <c r="L95" s="20">
        <f>SUM(B95*1.229+B95*0.16)</f>
        <v>9728.0214086423348</v>
      </c>
      <c r="M95" s="20">
        <f t="shared" si="82"/>
        <v>9819.0684052674969</v>
      </c>
      <c r="N95" s="20">
        <f t="shared" si="83"/>
        <v>9910.1154018926572</v>
      </c>
      <c r="O95" s="20">
        <f t="shared" si="84"/>
        <v>10001.162398517821</v>
      </c>
      <c r="P95" s="20">
        <f t="shared" si="85"/>
        <v>10092.209395142983</v>
      </c>
      <c r="Q95" s="20">
        <f t="shared" si="86"/>
        <v>10169.249161518121</v>
      </c>
      <c r="R95" s="20">
        <f t="shared" si="87"/>
        <v>10225.27808251822</v>
      </c>
      <c r="S95" s="24">
        <f t="shared" si="92"/>
        <v>10281.307003518321</v>
      </c>
      <c r="T95" s="20">
        <f t="shared" si="93"/>
        <v>9409.3569204542655</v>
      </c>
      <c r="U95" s="20">
        <f t="shared" si="94"/>
        <v>112912.28304545119</v>
      </c>
    </row>
    <row r="97" spans="1:21" x14ac:dyDescent="0.3">
      <c r="A97" s="54" t="str">
        <f>A1</f>
        <v>YHDISTELMÄ PALKKATAULUKKO 1.10.2026</v>
      </c>
      <c r="B97" s="55"/>
      <c r="C97" s="55"/>
      <c r="D97" s="55"/>
      <c r="E97" s="55"/>
      <c r="G97" s="6" t="str">
        <f>G1</f>
        <v>SAMMANSATT LÖNETABELL 1.10.2026</v>
      </c>
    </row>
    <row r="98" spans="1:21" x14ac:dyDescent="0.3">
      <c r="A98" s="6" t="s">
        <v>48</v>
      </c>
    </row>
    <row r="99" spans="1:21" ht="14.4" thickBot="1" x14ac:dyDescent="0.35">
      <c r="A99" s="6" t="s">
        <v>49</v>
      </c>
      <c r="B99" s="6"/>
      <c r="C99" s="6"/>
      <c r="D99" s="6"/>
      <c r="E99" s="6"/>
      <c r="F99" s="6"/>
      <c r="G99" s="6" t="str">
        <f>'[1]01082014 tarkentava ves'!G116</f>
        <v>kravnivå 11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21" x14ac:dyDescent="0.3">
      <c r="T100" s="39" t="s">
        <v>7</v>
      </c>
      <c r="U100" s="40"/>
    </row>
    <row r="101" spans="1:21" ht="12.75" customHeight="1" x14ac:dyDescent="0.3">
      <c r="A101" s="45" t="s">
        <v>4</v>
      </c>
      <c r="B101" s="45" t="s">
        <v>5</v>
      </c>
      <c r="C101" s="51" t="str">
        <f>C6</f>
        <v>Suorituspisteet ja suoritustasot / Prestationspoäng och prestationsnivå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3"/>
      <c r="T101" s="41"/>
      <c r="U101" s="42"/>
    </row>
    <row r="102" spans="1:21" ht="14.4" thickBot="1" x14ac:dyDescent="0.35">
      <c r="A102" s="46"/>
      <c r="B102" s="46"/>
      <c r="C102" s="10" t="s">
        <v>8</v>
      </c>
      <c r="D102" s="11" t="s">
        <v>9</v>
      </c>
      <c r="E102" s="10" t="s">
        <v>10</v>
      </c>
      <c r="F102" s="11" t="s">
        <v>11</v>
      </c>
      <c r="G102" s="10" t="s">
        <v>12</v>
      </c>
      <c r="H102" s="11" t="s">
        <v>13</v>
      </c>
      <c r="I102" s="10" t="s">
        <v>14</v>
      </c>
      <c r="J102" s="11" t="s">
        <v>15</v>
      </c>
      <c r="K102" s="10" t="s">
        <v>16</v>
      </c>
      <c r="L102" s="11" t="s">
        <v>17</v>
      </c>
      <c r="M102" s="10" t="s">
        <v>18</v>
      </c>
      <c r="N102" s="11" t="s">
        <v>19</v>
      </c>
      <c r="O102" s="10" t="s">
        <v>20</v>
      </c>
      <c r="P102" s="11" t="s">
        <v>21</v>
      </c>
      <c r="Q102" s="10" t="s">
        <v>22</v>
      </c>
      <c r="R102" s="11" t="s">
        <v>23</v>
      </c>
      <c r="S102" s="10" t="s">
        <v>24</v>
      </c>
      <c r="T102" s="43"/>
      <c r="U102" s="44"/>
    </row>
    <row r="103" spans="1:21" ht="55.2" x14ac:dyDescent="0.3">
      <c r="A103" s="47"/>
      <c r="B103" s="47"/>
      <c r="C103" s="12" t="s">
        <v>25</v>
      </c>
      <c r="D103" s="13" t="s">
        <v>26</v>
      </c>
      <c r="E103" s="12" t="s">
        <v>27</v>
      </c>
      <c r="F103" s="13" t="s">
        <v>28</v>
      </c>
      <c r="G103" s="12" t="s">
        <v>29</v>
      </c>
      <c r="H103" s="13" t="s">
        <v>30</v>
      </c>
      <c r="I103" s="12" t="s">
        <v>31</v>
      </c>
      <c r="J103" s="13" t="s">
        <v>32</v>
      </c>
      <c r="K103" s="12" t="s">
        <v>33</v>
      </c>
      <c r="L103" s="13" t="s">
        <v>34</v>
      </c>
      <c r="M103" s="12" t="s">
        <v>35</v>
      </c>
      <c r="N103" s="13" t="s">
        <v>36</v>
      </c>
      <c r="O103" s="12" t="s">
        <v>37</v>
      </c>
      <c r="P103" s="13" t="s">
        <v>38</v>
      </c>
      <c r="Q103" s="12" t="s">
        <v>39</v>
      </c>
      <c r="R103" s="13" t="s">
        <v>40</v>
      </c>
      <c r="S103" s="12" t="s">
        <v>41</v>
      </c>
      <c r="T103" s="21" t="s">
        <v>42</v>
      </c>
      <c r="U103" s="22" t="s">
        <v>43</v>
      </c>
    </row>
    <row r="104" spans="1:21" x14ac:dyDescent="0.3">
      <c r="A104" s="25" t="s">
        <v>50</v>
      </c>
      <c r="B104" s="26">
        <f>B10</f>
        <v>4440.3508223999997</v>
      </c>
      <c r="C104" s="18">
        <f>SUM(C10)</f>
        <v>4800.0192390143993</v>
      </c>
      <c r="D104" s="18">
        <f>SUM(D10)</f>
        <v>4893.2666062848002</v>
      </c>
      <c r="E104" s="18">
        <f>SUM(E10)</f>
        <v>4990.9543243776006</v>
      </c>
      <c r="F104" s="18">
        <f>SUM(F10)</f>
        <v>5084.2016916479997</v>
      </c>
      <c r="G104" s="18">
        <f>SUM(G10)</f>
        <v>5168.5683572735998</v>
      </c>
      <c r="H104" s="18">
        <f>SUM(H10)</f>
        <v>5226.2929179647999</v>
      </c>
      <c r="I104" s="18">
        <f>SUM(I10)</f>
        <v>5284.0174786559992</v>
      </c>
      <c r="J104" s="18">
        <f>SUM(J10)</f>
        <v>5341.7420393472003</v>
      </c>
      <c r="K104" s="18">
        <f>SUM(K10)</f>
        <v>5399.4666000383995</v>
      </c>
      <c r="L104" s="18">
        <f>SUM(L10)</f>
        <v>5457.1911607295997</v>
      </c>
      <c r="M104" s="18">
        <f>SUM(M10)</f>
        <v>5514.9157214207999</v>
      </c>
      <c r="N104" s="18">
        <f>SUM(N10)</f>
        <v>5572.6402821119991</v>
      </c>
      <c r="O104" s="18">
        <f>SUM(O10)</f>
        <v>5630.3648428032002</v>
      </c>
      <c r="P104" s="18">
        <f>SUM(P10)</f>
        <v>5688.0894034943994</v>
      </c>
      <c r="Q104" s="18">
        <f>SUM(Q10)</f>
        <v>5736.9332625407997</v>
      </c>
      <c r="R104" s="18">
        <f>SUM(R10)</f>
        <v>5772.4560691199995</v>
      </c>
      <c r="S104" s="23">
        <f>SUM(S10)</f>
        <v>5807.9788756992002</v>
      </c>
      <c r="T104" s="23">
        <f>AVERAGE(G104:J104)</f>
        <v>5255.1551983104</v>
      </c>
      <c r="U104" s="23">
        <f>T104*12</f>
        <v>63061.8623797248</v>
      </c>
    </row>
    <row r="105" spans="1:21" x14ac:dyDescent="0.3">
      <c r="A105" s="25" t="s">
        <v>51</v>
      </c>
      <c r="B105" s="26">
        <f>SUM(B104*1.04)</f>
        <v>4617.9648552959998</v>
      </c>
      <c r="C105" s="18">
        <f>SUM(C29)</f>
        <v>4977.6332719103993</v>
      </c>
      <c r="D105" s="18">
        <f>SUM(D29)</f>
        <v>5070.8806391808002</v>
      </c>
      <c r="E105" s="18">
        <f>SUM(E29)</f>
        <v>5168.5683572736007</v>
      </c>
      <c r="F105" s="18">
        <f>SUM(F29)</f>
        <v>5261.8157245439997</v>
      </c>
      <c r="G105" s="18">
        <f>SUM(G29)</f>
        <v>5346.1823901695998</v>
      </c>
      <c r="H105" s="18">
        <f>SUM(H29)</f>
        <v>5403.9069508608</v>
      </c>
      <c r="I105" s="18">
        <f>SUM(I29)</f>
        <v>5461.6315115519992</v>
      </c>
      <c r="J105" s="18">
        <f>SUM(J29)</f>
        <v>5519.3560722432003</v>
      </c>
      <c r="K105" s="18">
        <f>SUM(K29)</f>
        <v>5577.0806329343995</v>
      </c>
      <c r="L105" s="18">
        <f>SUM(L29)</f>
        <v>5634.8051936255997</v>
      </c>
      <c r="M105" s="18">
        <f>SUM(M29)</f>
        <v>5692.5297543167999</v>
      </c>
      <c r="N105" s="18">
        <f>SUM(N29)</f>
        <v>5750.2543150079991</v>
      </c>
      <c r="O105" s="18">
        <f>SUM(O29)</f>
        <v>5807.9788756992002</v>
      </c>
      <c r="P105" s="18">
        <f>SUM(P29)</f>
        <v>5865.7034363903995</v>
      </c>
      <c r="Q105" s="18">
        <f>SUM(Q29)</f>
        <v>5914.5472954367997</v>
      </c>
      <c r="R105" s="18">
        <f>SUM(R29)</f>
        <v>5950.0701020159995</v>
      </c>
      <c r="S105" s="23">
        <f>SUM(S29)</f>
        <v>5985.5929085952002</v>
      </c>
      <c r="T105" s="23">
        <f t="shared" ref="T105:T108" si="95">AVERAGE(G105:J105)</f>
        <v>5432.7692312064</v>
      </c>
      <c r="U105" s="23">
        <f t="shared" ref="U105:U108" si="96">T105*12</f>
        <v>65193.230774476804</v>
      </c>
    </row>
    <row r="106" spans="1:21" x14ac:dyDescent="0.3">
      <c r="A106" s="25" t="s">
        <v>52</v>
      </c>
      <c r="B106" s="26">
        <f>SUM(B104*1.07)</f>
        <v>4751.175379968</v>
      </c>
      <c r="C106" s="18">
        <f>SUM(C47)</f>
        <v>5110.8437965823996</v>
      </c>
      <c r="D106" s="18">
        <f>SUM(D47)</f>
        <v>5204.0911638528005</v>
      </c>
      <c r="E106" s="18">
        <f>SUM(E47)</f>
        <v>5301.7788819456009</v>
      </c>
      <c r="F106" s="18">
        <f>SUM(F47)</f>
        <v>5395.026249216</v>
      </c>
      <c r="G106" s="18">
        <f>SUM(G47)</f>
        <v>5479.3929148416</v>
      </c>
      <c r="H106" s="18">
        <f>SUM(H47)</f>
        <v>5537.1174755328002</v>
      </c>
      <c r="I106" s="18">
        <f>SUM(I47)</f>
        <v>5594.8420362239995</v>
      </c>
      <c r="J106" s="18">
        <f>SUM(J47)</f>
        <v>5652.5665969152005</v>
      </c>
      <c r="K106" s="18">
        <f>SUM(K47)</f>
        <v>5710.2911576063998</v>
      </c>
      <c r="L106" s="18">
        <f>SUM(L47)</f>
        <v>5768.0157182976</v>
      </c>
      <c r="M106" s="18">
        <f>SUM(M47)</f>
        <v>5825.7402789888001</v>
      </c>
      <c r="N106" s="18">
        <f>SUM(N47)</f>
        <v>5883.4648396799994</v>
      </c>
      <c r="O106" s="18">
        <f>SUM(O47)</f>
        <v>5941.1894003712005</v>
      </c>
      <c r="P106" s="18">
        <f>SUM(P47)</f>
        <v>5998.9139610623997</v>
      </c>
      <c r="Q106" s="18">
        <f>SUM(Q47)</f>
        <v>6047.7578201087999</v>
      </c>
      <c r="R106" s="18">
        <f>SUM(R47)</f>
        <v>6083.2806266879998</v>
      </c>
      <c r="S106" s="23">
        <f>SUM(S47)</f>
        <v>6118.8034332672005</v>
      </c>
      <c r="T106" s="23">
        <f t="shared" si="95"/>
        <v>5565.9797558784003</v>
      </c>
      <c r="U106" s="23">
        <f t="shared" si="96"/>
        <v>66791.7570705408</v>
      </c>
    </row>
    <row r="107" spans="1:21" x14ac:dyDescent="0.3">
      <c r="A107" s="25" t="s">
        <v>53</v>
      </c>
      <c r="B107" s="26">
        <f>SUM(B104*1.12)</f>
        <v>4973.1929210879998</v>
      </c>
      <c r="C107" s="18">
        <f t="shared" ref="C107:S107" si="97">SUM(C67)</f>
        <v>5332.8613377023994</v>
      </c>
      <c r="D107" s="18">
        <f t="shared" si="97"/>
        <v>5426.1087049728003</v>
      </c>
      <c r="E107" s="18">
        <f t="shared" si="97"/>
        <v>5523.7964230656007</v>
      </c>
      <c r="F107" s="18">
        <f t="shared" si="97"/>
        <v>5617.0437903359998</v>
      </c>
      <c r="G107" s="18">
        <f t="shared" si="97"/>
        <v>5701.4104559615998</v>
      </c>
      <c r="H107" s="18">
        <f t="shared" si="97"/>
        <v>5759.1350166528</v>
      </c>
      <c r="I107" s="18">
        <f t="shared" si="97"/>
        <v>5816.8595773439993</v>
      </c>
      <c r="J107" s="18">
        <f t="shared" si="97"/>
        <v>5874.5841380352003</v>
      </c>
      <c r="K107" s="18">
        <f t="shared" si="97"/>
        <v>5932.3086987263996</v>
      </c>
      <c r="L107" s="18">
        <f t="shared" si="97"/>
        <v>5990.0332594175998</v>
      </c>
      <c r="M107" s="18">
        <f t="shared" si="97"/>
        <v>6047.7578201087999</v>
      </c>
      <c r="N107" s="18">
        <f t="shared" si="97"/>
        <v>6105.4823807999992</v>
      </c>
      <c r="O107" s="18">
        <f t="shared" si="97"/>
        <v>6163.2069414912003</v>
      </c>
      <c r="P107" s="18">
        <f t="shared" si="97"/>
        <v>6220.9315021823995</v>
      </c>
      <c r="Q107" s="18">
        <f t="shared" si="97"/>
        <v>6269.7753612287997</v>
      </c>
      <c r="R107" s="18">
        <f t="shared" si="97"/>
        <v>6305.2981678079996</v>
      </c>
      <c r="S107" s="23">
        <f t="shared" si="97"/>
        <v>6340.8209743872003</v>
      </c>
      <c r="T107" s="23">
        <f t="shared" si="95"/>
        <v>5787.9972969983992</v>
      </c>
      <c r="U107" s="23">
        <f t="shared" si="96"/>
        <v>69455.967563980783</v>
      </c>
    </row>
    <row r="108" spans="1:21" x14ac:dyDescent="0.3">
      <c r="A108" s="27" t="s">
        <v>54</v>
      </c>
      <c r="B108" s="28">
        <f>SUM(B104*1.16)</f>
        <v>5150.8069539839989</v>
      </c>
      <c r="C108" s="20">
        <f>SUM(C85)</f>
        <v>5510.4753705983994</v>
      </c>
      <c r="D108" s="20">
        <f t="shared" ref="D108:S108" si="98">SUM(D85)</f>
        <v>5603.7227378688003</v>
      </c>
      <c r="E108" s="20">
        <f t="shared" si="98"/>
        <v>5701.4104559616007</v>
      </c>
      <c r="F108" s="20">
        <f t="shared" si="98"/>
        <v>5794.6578232319998</v>
      </c>
      <c r="G108" s="20">
        <f t="shared" si="98"/>
        <v>5879.0244888575999</v>
      </c>
      <c r="H108" s="20">
        <f t="shared" si="98"/>
        <v>5936.7490495488</v>
      </c>
      <c r="I108" s="20">
        <f t="shared" si="98"/>
        <v>5994.4736102399993</v>
      </c>
      <c r="J108" s="20">
        <f t="shared" si="98"/>
        <v>6052.1981709312004</v>
      </c>
      <c r="K108" s="20">
        <f t="shared" si="98"/>
        <v>6109.9227316223996</v>
      </c>
      <c r="L108" s="20">
        <f t="shared" si="98"/>
        <v>6167.6472923135998</v>
      </c>
      <c r="M108" s="20">
        <f t="shared" si="98"/>
        <v>6225.3718530048</v>
      </c>
      <c r="N108" s="20">
        <f t="shared" si="98"/>
        <v>6283.0964136959992</v>
      </c>
      <c r="O108" s="20">
        <f t="shared" si="98"/>
        <v>6340.8209743872003</v>
      </c>
      <c r="P108" s="20">
        <f t="shared" si="98"/>
        <v>6398.5455350783996</v>
      </c>
      <c r="Q108" s="20">
        <f t="shared" si="98"/>
        <v>6447.3893941247998</v>
      </c>
      <c r="R108" s="20">
        <f t="shared" si="98"/>
        <v>6482.9122007039996</v>
      </c>
      <c r="S108" s="24">
        <f t="shared" si="98"/>
        <v>6518.4350072832003</v>
      </c>
      <c r="T108" s="24">
        <f t="shared" si="95"/>
        <v>5965.6113298944001</v>
      </c>
      <c r="U108" s="24">
        <f t="shared" si="96"/>
        <v>71587.335958732801</v>
      </c>
    </row>
    <row r="109" spans="1:21" x14ac:dyDescent="0.3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10" spans="1:21" ht="14.4" thickBot="1" x14ac:dyDescent="0.35">
      <c r="A110" s="6" t="s">
        <v>55</v>
      </c>
      <c r="B110" s="6"/>
      <c r="C110" s="29"/>
      <c r="D110" s="29"/>
      <c r="E110" s="29"/>
      <c r="F110" s="29"/>
      <c r="G110" s="29" t="str">
        <f>'[1]01082014 tarkentava ves'!G129</f>
        <v>kravnivå 12</v>
      </c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</row>
    <row r="111" spans="1:21" x14ac:dyDescent="0.3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39" t="s">
        <v>7</v>
      </c>
      <c r="U111" s="40"/>
    </row>
    <row r="112" spans="1:21" ht="12.75" customHeight="1" x14ac:dyDescent="0.3">
      <c r="A112" s="45" t="s">
        <v>4</v>
      </c>
      <c r="B112" s="45" t="s">
        <v>5</v>
      </c>
      <c r="C112" s="51" t="str">
        <f>C6</f>
        <v>Suorituspisteet ja suoritustasot / Prestationspoäng och prestationsnivå</v>
      </c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3"/>
      <c r="T112" s="41"/>
      <c r="U112" s="42"/>
    </row>
    <row r="113" spans="1:21" ht="14.4" thickBot="1" x14ac:dyDescent="0.35">
      <c r="A113" s="46"/>
      <c r="B113" s="46"/>
      <c r="C113" s="10" t="s">
        <v>8</v>
      </c>
      <c r="D113" s="11" t="s">
        <v>9</v>
      </c>
      <c r="E113" s="10" t="s">
        <v>10</v>
      </c>
      <c r="F113" s="11" t="s">
        <v>11</v>
      </c>
      <c r="G113" s="10" t="s">
        <v>12</v>
      </c>
      <c r="H113" s="11" t="s">
        <v>13</v>
      </c>
      <c r="I113" s="10" t="s">
        <v>14</v>
      </c>
      <c r="J113" s="11" t="s">
        <v>15</v>
      </c>
      <c r="K113" s="10" t="s">
        <v>16</v>
      </c>
      <c r="L113" s="11" t="s">
        <v>17</v>
      </c>
      <c r="M113" s="10" t="s">
        <v>18</v>
      </c>
      <c r="N113" s="11" t="s">
        <v>19</v>
      </c>
      <c r="O113" s="10" t="s">
        <v>20</v>
      </c>
      <c r="P113" s="11" t="s">
        <v>21</v>
      </c>
      <c r="Q113" s="10" t="s">
        <v>22</v>
      </c>
      <c r="R113" s="11" t="s">
        <v>23</v>
      </c>
      <c r="S113" s="10" t="s">
        <v>24</v>
      </c>
      <c r="T113" s="43"/>
      <c r="U113" s="44"/>
    </row>
    <row r="114" spans="1:21" ht="55.2" x14ac:dyDescent="0.3">
      <c r="A114" s="47"/>
      <c r="B114" s="47"/>
      <c r="C114" s="12" t="s">
        <v>25</v>
      </c>
      <c r="D114" s="13" t="s">
        <v>26</v>
      </c>
      <c r="E114" s="12" t="s">
        <v>27</v>
      </c>
      <c r="F114" s="13" t="s">
        <v>28</v>
      </c>
      <c r="G114" s="12" t="s">
        <v>29</v>
      </c>
      <c r="H114" s="13" t="s">
        <v>30</v>
      </c>
      <c r="I114" s="12" t="s">
        <v>31</v>
      </c>
      <c r="J114" s="13" t="s">
        <v>32</v>
      </c>
      <c r="K114" s="12" t="s">
        <v>33</v>
      </c>
      <c r="L114" s="13" t="s">
        <v>34</v>
      </c>
      <c r="M114" s="12" t="s">
        <v>35</v>
      </c>
      <c r="N114" s="13" t="s">
        <v>36</v>
      </c>
      <c r="O114" s="12" t="s">
        <v>37</v>
      </c>
      <c r="P114" s="13" t="s">
        <v>38</v>
      </c>
      <c r="Q114" s="12" t="s">
        <v>39</v>
      </c>
      <c r="R114" s="13" t="s">
        <v>40</v>
      </c>
      <c r="S114" s="12" t="s">
        <v>41</v>
      </c>
      <c r="T114" s="21" t="s">
        <v>42</v>
      </c>
      <c r="U114" s="22" t="s">
        <v>43</v>
      </c>
    </row>
    <row r="115" spans="1:21" x14ac:dyDescent="0.3">
      <c r="A115" s="30" t="s">
        <v>50</v>
      </c>
      <c r="B115" s="31">
        <f>B11</f>
        <v>4784.6239641599986</v>
      </c>
      <c r="C115" s="18">
        <f>SUM(C11)</f>
        <v>5172.1785052569585</v>
      </c>
      <c r="D115" s="18">
        <f>SUM(D11)</f>
        <v>5272.6556085043194</v>
      </c>
      <c r="E115" s="18">
        <f>SUM(E11)</f>
        <v>5377.9173357158388</v>
      </c>
      <c r="F115" s="18">
        <f>SUM(F11)</f>
        <v>5478.3944389631988</v>
      </c>
      <c r="G115" s="18">
        <f>SUM(G11)</f>
        <v>5569.3022942822381</v>
      </c>
      <c r="H115" s="18">
        <f>SUM(H11)</f>
        <v>5631.502405816319</v>
      </c>
      <c r="I115" s="18">
        <f>SUM(I11)</f>
        <v>5693.702517350398</v>
      </c>
      <c r="J115" s="18">
        <f>SUM(J11)</f>
        <v>5755.9026288844789</v>
      </c>
      <c r="K115" s="18">
        <f>SUM(K11)</f>
        <v>5818.1027404185579</v>
      </c>
      <c r="L115" s="18">
        <f>SUM(L11)</f>
        <v>5880.3028519526388</v>
      </c>
      <c r="M115" s="18">
        <f>SUM(M11)</f>
        <v>5942.5029634867187</v>
      </c>
      <c r="N115" s="18">
        <f>SUM(N11)</f>
        <v>6004.7030750207978</v>
      </c>
      <c r="O115" s="18">
        <f>SUM(O11)</f>
        <v>6066.9031865548786</v>
      </c>
      <c r="P115" s="18">
        <f>SUM(P11)</f>
        <v>6129.1032980889577</v>
      </c>
      <c r="Q115" s="18">
        <f>SUM(Q11)</f>
        <v>6181.7341616947188</v>
      </c>
      <c r="R115" s="18">
        <f>SUM(R11)</f>
        <v>6220.0111534079988</v>
      </c>
      <c r="S115" s="23">
        <f>SUM(S11)</f>
        <v>6258.2881451212788</v>
      </c>
      <c r="T115" s="23">
        <f>AVERAGE(G115:J115)</f>
        <v>5662.6024615833585</v>
      </c>
      <c r="U115" s="23">
        <f>T115*12</f>
        <v>67951.229539000298</v>
      </c>
    </row>
    <row r="116" spans="1:21" x14ac:dyDescent="0.3">
      <c r="A116" s="32" t="s">
        <v>51</v>
      </c>
      <c r="B116" s="31">
        <f>SUM(B115*1.04)</f>
        <v>4976.0089227263989</v>
      </c>
      <c r="C116" s="18">
        <f>SUM(C30)</f>
        <v>5363.5634638233587</v>
      </c>
      <c r="D116" s="18">
        <f>SUM(D30)</f>
        <v>5464.0405670707196</v>
      </c>
      <c r="E116" s="18">
        <f>SUM(E30)</f>
        <v>5569.302294282239</v>
      </c>
      <c r="F116" s="18">
        <f>SUM(F30)</f>
        <v>5669.779397529599</v>
      </c>
      <c r="G116" s="18">
        <f>SUM(G30)</f>
        <v>5760.6872528486383</v>
      </c>
      <c r="H116" s="18">
        <f>SUM(H30)</f>
        <v>5822.8873643827192</v>
      </c>
      <c r="I116" s="18">
        <f>SUM(I30)</f>
        <v>5885.0874759167982</v>
      </c>
      <c r="J116" s="18">
        <f>SUM(J30)</f>
        <v>5947.2875874508791</v>
      </c>
      <c r="K116" s="18">
        <f>SUM(K30)</f>
        <v>6009.4876989849581</v>
      </c>
      <c r="L116" s="18">
        <f>SUM(L30)</f>
        <v>6071.687810519039</v>
      </c>
      <c r="M116" s="18">
        <f>SUM(M30)</f>
        <v>6133.8879220531189</v>
      </c>
      <c r="N116" s="18">
        <f>SUM(N30)</f>
        <v>6196.088033587198</v>
      </c>
      <c r="O116" s="18">
        <f>SUM(O30)</f>
        <v>6258.2881451212788</v>
      </c>
      <c r="P116" s="18">
        <f>SUM(P30)</f>
        <v>6320.4882566553579</v>
      </c>
      <c r="Q116" s="18">
        <f>SUM(Q30)</f>
        <v>6373.119120261119</v>
      </c>
      <c r="R116" s="18">
        <f>SUM(R30)</f>
        <v>6411.396111974399</v>
      </c>
      <c r="S116" s="23">
        <f>SUM(S30)</f>
        <v>6449.673103687679</v>
      </c>
      <c r="T116" s="23">
        <f t="shared" ref="T116:T119" si="99">AVERAGE(G116:J116)</f>
        <v>5853.9874201497587</v>
      </c>
      <c r="U116" s="23">
        <f t="shared" ref="U116:U119" si="100">T116*12</f>
        <v>70247.849041797104</v>
      </c>
    </row>
    <row r="117" spans="1:21" x14ac:dyDescent="0.3">
      <c r="A117" s="32" t="s">
        <v>52</v>
      </c>
      <c r="B117" s="31">
        <f>SUM(B115*1.07)</f>
        <v>5119.5476416511992</v>
      </c>
      <c r="C117" s="18">
        <f>SUM(C48)</f>
        <v>5507.1021827481582</v>
      </c>
      <c r="D117" s="18">
        <f>SUM(D48)</f>
        <v>5607.5792859955191</v>
      </c>
      <c r="E117" s="18">
        <f>SUM(E48)</f>
        <v>5712.8410132070385</v>
      </c>
      <c r="F117" s="18">
        <f>SUM(F48)</f>
        <v>5813.3181164543985</v>
      </c>
      <c r="G117" s="18">
        <f>SUM(G48)</f>
        <v>5904.2259717734378</v>
      </c>
      <c r="H117" s="18">
        <f>SUM(H48)</f>
        <v>5966.4260833075186</v>
      </c>
      <c r="I117" s="18">
        <f>SUM(I48)</f>
        <v>6028.6261948415977</v>
      </c>
      <c r="J117" s="18">
        <f>SUM(J48)</f>
        <v>6090.8263063756785</v>
      </c>
      <c r="K117" s="18">
        <f>SUM(K48)</f>
        <v>6153.0264179097576</v>
      </c>
      <c r="L117" s="18">
        <f>SUM(L48)</f>
        <v>6215.2265294438384</v>
      </c>
      <c r="M117" s="18">
        <f>SUM(M48)</f>
        <v>6277.4266409779184</v>
      </c>
      <c r="N117" s="18">
        <f>SUM(N48)</f>
        <v>6339.6267525119974</v>
      </c>
      <c r="O117" s="18">
        <f>SUM(O48)</f>
        <v>6401.8268640460783</v>
      </c>
      <c r="P117" s="18">
        <f>SUM(P48)</f>
        <v>6464.0269755801573</v>
      </c>
      <c r="Q117" s="18">
        <f>SUM(Q48)</f>
        <v>6516.6578391859184</v>
      </c>
      <c r="R117" s="18">
        <f>SUM(R48)</f>
        <v>6554.9348308991985</v>
      </c>
      <c r="S117" s="23">
        <f>SUM(S48)</f>
        <v>6593.2118226124785</v>
      </c>
      <c r="T117" s="23">
        <f t="shared" si="99"/>
        <v>5997.5261390745582</v>
      </c>
      <c r="U117" s="23">
        <f t="shared" si="100"/>
        <v>71970.313668894698</v>
      </c>
    </row>
    <row r="118" spans="1:21" x14ac:dyDescent="0.3">
      <c r="A118" s="32" t="s">
        <v>53</v>
      </c>
      <c r="B118" s="31">
        <f>SUM(B115*1.12)</f>
        <v>5358.7788398591993</v>
      </c>
      <c r="C118" s="18">
        <f t="shared" ref="C118:S118" si="101">SUM(C68)</f>
        <v>5746.3333809561582</v>
      </c>
      <c r="D118" s="18">
        <f t="shared" si="101"/>
        <v>5846.8104842035191</v>
      </c>
      <c r="E118" s="18">
        <f t="shared" si="101"/>
        <v>5952.0722114150385</v>
      </c>
      <c r="F118" s="18">
        <f t="shared" si="101"/>
        <v>6052.5493146623985</v>
      </c>
      <c r="G118" s="18">
        <f t="shared" si="101"/>
        <v>6143.4571699814378</v>
      </c>
      <c r="H118" s="18">
        <f t="shared" si="101"/>
        <v>6205.6572815155187</v>
      </c>
      <c r="I118" s="18">
        <f t="shared" si="101"/>
        <v>6267.8573930495977</v>
      </c>
      <c r="J118" s="18">
        <f t="shared" si="101"/>
        <v>6330.0575045836786</v>
      </c>
      <c r="K118" s="18">
        <f t="shared" si="101"/>
        <v>6392.2576161177576</v>
      </c>
      <c r="L118" s="18">
        <f t="shared" si="101"/>
        <v>6454.4577276518385</v>
      </c>
      <c r="M118" s="18">
        <f t="shared" si="101"/>
        <v>6516.6578391859184</v>
      </c>
      <c r="N118" s="18">
        <f t="shared" si="101"/>
        <v>6578.8579507199975</v>
      </c>
      <c r="O118" s="18">
        <f t="shared" si="101"/>
        <v>6641.0580622540783</v>
      </c>
      <c r="P118" s="18">
        <f t="shared" si="101"/>
        <v>6703.2581737881574</v>
      </c>
      <c r="Q118" s="18">
        <f t="shared" si="101"/>
        <v>6755.8890373939184</v>
      </c>
      <c r="R118" s="18">
        <f t="shared" si="101"/>
        <v>6794.1660291071985</v>
      </c>
      <c r="S118" s="23">
        <f t="shared" si="101"/>
        <v>6832.4430208204785</v>
      </c>
      <c r="T118" s="23">
        <f t="shared" si="99"/>
        <v>6236.7573372825582</v>
      </c>
      <c r="U118" s="23">
        <f t="shared" si="100"/>
        <v>74841.088047390702</v>
      </c>
    </row>
    <row r="119" spans="1:21" x14ac:dyDescent="0.3">
      <c r="A119" s="33" t="s">
        <v>54</v>
      </c>
      <c r="B119" s="34">
        <f>SUM(B115*1.16)</f>
        <v>5550.1637984255976</v>
      </c>
      <c r="C119" s="20">
        <f>SUM(C86)</f>
        <v>5937.7183395225584</v>
      </c>
      <c r="D119" s="20">
        <f t="shared" ref="D119:S119" si="102">SUM(D86)</f>
        <v>6038.1954427699193</v>
      </c>
      <c r="E119" s="20">
        <f t="shared" si="102"/>
        <v>6143.4571699814387</v>
      </c>
      <c r="F119" s="20">
        <f t="shared" si="102"/>
        <v>6243.9342732287987</v>
      </c>
      <c r="G119" s="20">
        <f t="shared" si="102"/>
        <v>6334.842128547838</v>
      </c>
      <c r="H119" s="20">
        <f t="shared" si="102"/>
        <v>6397.0422400819189</v>
      </c>
      <c r="I119" s="20">
        <f t="shared" si="102"/>
        <v>6459.2423516159979</v>
      </c>
      <c r="J119" s="20">
        <f t="shared" si="102"/>
        <v>6521.4424631500788</v>
      </c>
      <c r="K119" s="20">
        <f t="shared" si="102"/>
        <v>6583.6425746841578</v>
      </c>
      <c r="L119" s="20">
        <f t="shared" si="102"/>
        <v>6645.8426862182387</v>
      </c>
      <c r="M119" s="20">
        <f t="shared" si="102"/>
        <v>6708.0427977523186</v>
      </c>
      <c r="N119" s="20">
        <f t="shared" si="102"/>
        <v>6770.2429092863977</v>
      </c>
      <c r="O119" s="20">
        <f t="shared" si="102"/>
        <v>6832.4430208204785</v>
      </c>
      <c r="P119" s="20">
        <f t="shared" si="102"/>
        <v>6894.6431323545576</v>
      </c>
      <c r="Q119" s="20">
        <f t="shared" si="102"/>
        <v>6947.2739959603186</v>
      </c>
      <c r="R119" s="20">
        <f t="shared" si="102"/>
        <v>6985.5509876735987</v>
      </c>
      <c r="S119" s="24">
        <f t="shared" si="102"/>
        <v>7023.8279793868787</v>
      </c>
      <c r="T119" s="24">
        <f t="shared" si="99"/>
        <v>6428.1422958489584</v>
      </c>
      <c r="U119" s="24">
        <f t="shared" si="100"/>
        <v>77137.707550187508</v>
      </c>
    </row>
    <row r="120" spans="1:21" x14ac:dyDescent="0.3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21" ht="14.4" thickBot="1" x14ac:dyDescent="0.35">
      <c r="A121" s="6" t="s">
        <v>56</v>
      </c>
      <c r="B121" s="6"/>
      <c r="C121" s="29"/>
      <c r="D121" s="29"/>
      <c r="E121" s="29"/>
      <c r="F121" s="29"/>
      <c r="G121" s="29" t="str">
        <f>'[1]01082014 tarkentava ves'!G142</f>
        <v>kravnivå 13</v>
      </c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</row>
    <row r="122" spans="1:21" x14ac:dyDescent="0.3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39" t="s">
        <v>7</v>
      </c>
      <c r="U122" s="40"/>
    </row>
    <row r="123" spans="1:21" ht="12.75" customHeight="1" x14ac:dyDescent="0.3">
      <c r="A123" s="45" t="s">
        <v>4</v>
      </c>
      <c r="B123" s="45" t="s">
        <v>5</v>
      </c>
      <c r="C123" s="51" t="str">
        <f>C6</f>
        <v>Suorituspisteet ja suoritustasot / Prestationspoäng och prestationsnivå</v>
      </c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3"/>
      <c r="T123" s="41"/>
      <c r="U123" s="42"/>
    </row>
    <row r="124" spans="1:21" ht="14.4" thickBot="1" x14ac:dyDescent="0.35">
      <c r="A124" s="46"/>
      <c r="B124" s="46"/>
      <c r="C124" s="10" t="s">
        <v>8</v>
      </c>
      <c r="D124" s="11" t="s">
        <v>9</v>
      </c>
      <c r="E124" s="10" t="s">
        <v>10</v>
      </c>
      <c r="F124" s="11" t="s">
        <v>11</v>
      </c>
      <c r="G124" s="10" t="s">
        <v>12</v>
      </c>
      <c r="H124" s="11" t="s">
        <v>13</v>
      </c>
      <c r="I124" s="10" t="s">
        <v>14</v>
      </c>
      <c r="J124" s="11" t="s">
        <v>15</v>
      </c>
      <c r="K124" s="10" t="s">
        <v>16</v>
      </c>
      <c r="L124" s="11" t="s">
        <v>17</v>
      </c>
      <c r="M124" s="10" t="s">
        <v>18</v>
      </c>
      <c r="N124" s="11" t="s">
        <v>19</v>
      </c>
      <c r="O124" s="10" t="s">
        <v>20</v>
      </c>
      <c r="P124" s="11" t="s">
        <v>21</v>
      </c>
      <c r="Q124" s="10" t="s">
        <v>22</v>
      </c>
      <c r="R124" s="11" t="s">
        <v>23</v>
      </c>
      <c r="S124" s="10" t="s">
        <v>24</v>
      </c>
      <c r="T124" s="43"/>
      <c r="U124" s="44"/>
    </row>
    <row r="125" spans="1:21" ht="55.2" x14ac:dyDescent="0.3">
      <c r="A125" s="47"/>
      <c r="B125" s="47"/>
      <c r="C125" s="12" t="s">
        <v>25</v>
      </c>
      <c r="D125" s="13" t="s">
        <v>26</v>
      </c>
      <c r="E125" s="12" t="s">
        <v>27</v>
      </c>
      <c r="F125" s="13" t="s">
        <v>28</v>
      </c>
      <c r="G125" s="12" t="s">
        <v>29</v>
      </c>
      <c r="H125" s="13" t="s">
        <v>30</v>
      </c>
      <c r="I125" s="12" t="s">
        <v>31</v>
      </c>
      <c r="J125" s="13" t="s">
        <v>32</v>
      </c>
      <c r="K125" s="12" t="s">
        <v>33</v>
      </c>
      <c r="L125" s="13" t="s">
        <v>34</v>
      </c>
      <c r="M125" s="12" t="s">
        <v>35</v>
      </c>
      <c r="N125" s="13" t="s">
        <v>36</v>
      </c>
      <c r="O125" s="12" t="s">
        <v>37</v>
      </c>
      <c r="P125" s="13" t="s">
        <v>38</v>
      </c>
      <c r="Q125" s="12" t="s">
        <v>39</v>
      </c>
      <c r="R125" s="13" t="s">
        <v>40</v>
      </c>
      <c r="S125" s="12" t="s">
        <v>41</v>
      </c>
      <c r="T125" s="21" t="s">
        <v>42</v>
      </c>
      <c r="U125" s="22" t="s">
        <v>43</v>
      </c>
    </row>
    <row r="126" spans="1:21" x14ac:dyDescent="0.3">
      <c r="A126" s="30" t="s">
        <v>50</v>
      </c>
      <c r="B126" s="31">
        <f>B12</f>
        <v>5028.0349107199991</v>
      </c>
      <c r="C126" s="18">
        <f>SUM(C12)</f>
        <v>5435.3057384883186</v>
      </c>
      <c r="D126" s="18">
        <f>SUM(D12)</f>
        <v>5540.8944716134392</v>
      </c>
      <c r="E126" s="18">
        <f>SUM(E12)</f>
        <v>5651.5112396492796</v>
      </c>
      <c r="F126" s="18">
        <f>SUM(F12)</f>
        <v>5757.0999727743992</v>
      </c>
      <c r="G126" s="18">
        <f>SUM(G12)</f>
        <v>5852.6326360780786</v>
      </c>
      <c r="H126" s="18">
        <f>SUM(H12)</f>
        <v>5917.9970899174396</v>
      </c>
      <c r="I126" s="18">
        <f>SUM(I12)</f>
        <v>5983.3615437567987</v>
      </c>
      <c r="J126" s="18">
        <f>SUM(J12)</f>
        <v>6048.7259975961588</v>
      </c>
      <c r="K126" s="18">
        <f>SUM(K12)</f>
        <v>6114.0904514355188</v>
      </c>
      <c r="L126" s="18">
        <f>SUM(L12)</f>
        <v>6179.4549052748789</v>
      </c>
      <c r="M126" s="18">
        <f>SUM(M12)</f>
        <v>6244.819359114239</v>
      </c>
      <c r="N126" s="18">
        <f>SUM(N12)</f>
        <v>6310.1838129535981</v>
      </c>
      <c r="O126" s="18">
        <f>SUM(O12)</f>
        <v>6375.5482667929591</v>
      </c>
      <c r="P126" s="18">
        <f>SUM(P12)</f>
        <v>6440.9127206323183</v>
      </c>
      <c r="Q126" s="18">
        <f>SUM(Q12)</f>
        <v>6496.2211046502389</v>
      </c>
      <c r="R126" s="18">
        <f>SUM(R12)</f>
        <v>6536.4453839359994</v>
      </c>
      <c r="S126" s="23">
        <f>SUM(S12)</f>
        <v>6576.669663221759</v>
      </c>
      <c r="T126" s="23">
        <f>AVERAGE(G126:J126)</f>
        <v>5950.6793168371187</v>
      </c>
      <c r="U126" s="23">
        <f>T126*12</f>
        <v>71408.151802045424</v>
      </c>
    </row>
    <row r="127" spans="1:21" x14ac:dyDescent="0.3">
      <c r="A127" s="32" t="s">
        <v>51</v>
      </c>
      <c r="B127" s="31">
        <f>SUM(B126*1.04)</f>
        <v>5229.156307148799</v>
      </c>
      <c r="C127" s="18">
        <f>SUM(C31)</f>
        <v>5636.4271349171186</v>
      </c>
      <c r="D127" s="18">
        <f>SUM(D31)</f>
        <v>5742.0158680422392</v>
      </c>
      <c r="E127" s="18">
        <f>SUM(E31)</f>
        <v>5852.6326360780795</v>
      </c>
      <c r="F127" s="18">
        <f>SUM(F31)</f>
        <v>5958.2213692031992</v>
      </c>
      <c r="G127" s="18">
        <f>SUM(G31)</f>
        <v>6053.7540325068785</v>
      </c>
      <c r="H127" s="18">
        <f>SUM(H31)</f>
        <v>6119.1184863462395</v>
      </c>
      <c r="I127" s="18">
        <f>SUM(I31)</f>
        <v>6184.4829401855986</v>
      </c>
      <c r="J127" s="18">
        <f>SUM(J31)</f>
        <v>6249.8473940249587</v>
      </c>
      <c r="K127" s="18">
        <f>SUM(K31)</f>
        <v>6315.2118478643188</v>
      </c>
      <c r="L127" s="18">
        <f>SUM(L31)</f>
        <v>6380.5763017036788</v>
      </c>
      <c r="M127" s="18">
        <f>SUM(M31)</f>
        <v>6445.9407555430389</v>
      </c>
      <c r="N127" s="18">
        <f>SUM(N31)</f>
        <v>6511.3052093823981</v>
      </c>
      <c r="O127" s="18">
        <f>SUM(O31)</f>
        <v>6576.669663221759</v>
      </c>
      <c r="P127" s="18">
        <f>SUM(P31)</f>
        <v>6642.0341170611182</v>
      </c>
      <c r="Q127" s="18">
        <f>SUM(Q31)</f>
        <v>6697.3425010790388</v>
      </c>
      <c r="R127" s="18">
        <f>SUM(R31)</f>
        <v>6737.5667803647993</v>
      </c>
      <c r="S127" s="23">
        <f>SUM(S31)</f>
        <v>6777.791059650559</v>
      </c>
      <c r="T127" s="23">
        <f t="shared" ref="T127:T130" si="103">AVERAGE(G127:J127)</f>
        <v>6151.8007132659186</v>
      </c>
      <c r="U127" s="23">
        <f t="shared" ref="U127:U130" si="104">T127*12</f>
        <v>73821.608559191023</v>
      </c>
    </row>
    <row r="128" spans="1:21" x14ac:dyDescent="0.3">
      <c r="A128" s="32" t="s">
        <v>52</v>
      </c>
      <c r="B128" s="31">
        <f>SUM(B126*1.07)</f>
        <v>5379.9973544703989</v>
      </c>
      <c r="C128" s="18">
        <f>SUM(C49)</f>
        <v>5787.2681822387185</v>
      </c>
      <c r="D128" s="18">
        <f>SUM(D49)</f>
        <v>5892.8569153638391</v>
      </c>
      <c r="E128" s="18">
        <f>SUM(E49)</f>
        <v>6003.4736833996794</v>
      </c>
      <c r="F128" s="18">
        <f>SUM(F49)</f>
        <v>6109.0624165247991</v>
      </c>
      <c r="G128" s="18">
        <f>SUM(G49)</f>
        <v>6204.5950798284784</v>
      </c>
      <c r="H128" s="18">
        <f>SUM(H49)</f>
        <v>6269.9595336678394</v>
      </c>
      <c r="I128" s="18">
        <f>SUM(I49)</f>
        <v>6335.3239875071986</v>
      </c>
      <c r="J128" s="18">
        <f>SUM(J49)</f>
        <v>6400.6884413465586</v>
      </c>
      <c r="K128" s="18">
        <f>SUM(K49)</f>
        <v>6466.0528951859187</v>
      </c>
      <c r="L128" s="18">
        <f>SUM(L49)</f>
        <v>6531.4173490252788</v>
      </c>
      <c r="M128" s="18">
        <f>SUM(M49)</f>
        <v>6596.7818028646388</v>
      </c>
      <c r="N128" s="18">
        <f>SUM(N49)</f>
        <v>6662.146256703998</v>
      </c>
      <c r="O128" s="18">
        <f>SUM(O49)</f>
        <v>6727.510710543359</v>
      </c>
      <c r="P128" s="18">
        <f>SUM(P49)</f>
        <v>6792.8751643827181</v>
      </c>
      <c r="Q128" s="18">
        <f>SUM(Q49)</f>
        <v>6848.1835484006388</v>
      </c>
      <c r="R128" s="18">
        <f>SUM(R49)</f>
        <v>6888.4078276863993</v>
      </c>
      <c r="S128" s="23">
        <f>SUM(S49)</f>
        <v>6928.6321069721589</v>
      </c>
      <c r="T128" s="23">
        <f t="shared" si="103"/>
        <v>6302.6417605875195</v>
      </c>
      <c r="U128" s="23">
        <f t="shared" si="104"/>
        <v>75631.701127050241</v>
      </c>
    </row>
    <row r="129" spans="1:21" x14ac:dyDescent="0.3">
      <c r="A129" s="32" t="s">
        <v>53</v>
      </c>
      <c r="B129" s="31">
        <f>SUM(B126*1.12)</f>
        <v>5631.3991000063997</v>
      </c>
      <c r="C129" s="18">
        <f t="shared" ref="C129:S129" si="105">SUM(C69)</f>
        <v>6038.6699277747184</v>
      </c>
      <c r="D129" s="18">
        <f t="shared" si="105"/>
        <v>6144.258660899839</v>
      </c>
      <c r="E129" s="18">
        <f t="shared" si="105"/>
        <v>6254.8754289356793</v>
      </c>
      <c r="F129" s="18">
        <f t="shared" si="105"/>
        <v>6360.464162060799</v>
      </c>
      <c r="G129" s="18">
        <f t="shared" si="105"/>
        <v>6455.9968253644784</v>
      </c>
      <c r="H129" s="18">
        <f t="shared" si="105"/>
        <v>6521.3612792038393</v>
      </c>
      <c r="I129" s="18">
        <f t="shared" si="105"/>
        <v>6586.7257330431985</v>
      </c>
      <c r="J129" s="18">
        <f t="shared" si="105"/>
        <v>6652.0901868825586</v>
      </c>
      <c r="K129" s="18">
        <f t="shared" si="105"/>
        <v>6717.4546407219186</v>
      </c>
      <c r="L129" s="18">
        <f t="shared" si="105"/>
        <v>6782.8190945612787</v>
      </c>
      <c r="M129" s="18">
        <f t="shared" si="105"/>
        <v>6848.1835484006388</v>
      </c>
      <c r="N129" s="18">
        <f t="shared" si="105"/>
        <v>6913.5480022399979</v>
      </c>
      <c r="O129" s="18">
        <f t="shared" si="105"/>
        <v>6978.9124560793589</v>
      </c>
      <c r="P129" s="18">
        <f t="shared" si="105"/>
        <v>7044.276909918718</v>
      </c>
      <c r="Q129" s="18">
        <f t="shared" si="105"/>
        <v>7099.5852939366387</v>
      </c>
      <c r="R129" s="18">
        <f t="shared" si="105"/>
        <v>7139.8095732223992</v>
      </c>
      <c r="S129" s="23">
        <f t="shared" si="105"/>
        <v>7180.0338525081588</v>
      </c>
      <c r="T129" s="23">
        <f t="shared" si="103"/>
        <v>6554.0435061235185</v>
      </c>
      <c r="U129" s="23">
        <f t="shared" si="104"/>
        <v>78648.522073482221</v>
      </c>
    </row>
    <row r="130" spans="1:21" x14ac:dyDescent="0.3">
      <c r="A130" s="33" t="s">
        <v>54</v>
      </c>
      <c r="B130" s="34">
        <f>SUM(B126*1.16)</f>
        <v>5832.5204964351988</v>
      </c>
      <c r="C130" s="20">
        <f>SUM(C87)</f>
        <v>6239.7913242035183</v>
      </c>
      <c r="D130" s="20">
        <f>SUM(D87)</f>
        <v>6345.3800573286389</v>
      </c>
      <c r="E130" s="20">
        <f t="shared" ref="E130:S130" si="106">SUM(E87)</f>
        <v>6455.9968253644793</v>
      </c>
      <c r="F130" s="20">
        <f t="shared" si="106"/>
        <v>6561.585558489599</v>
      </c>
      <c r="G130" s="20">
        <f t="shared" si="106"/>
        <v>6657.1182217932783</v>
      </c>
      <c r="H130" s="20">
        <f t="shared" si="106"/>
        <v>6722.4826756326393</v>
      </c>
      <c r="I130" s="20">
        <f t="shared" si="106"/>
        <v>6787.8471294719984</v>
      </c>
      <c r="J130" s="20">
        <f t="shared" si="106"/>
        <v>6853.2115833113585</v>
      </c>
      <c r="K130" s="20">
        <f t="shared" si="106"/>
        <v>6918.5760371507185</v>
      </c>
      <c r="L130" s="20">
        <f t="shared" si="106"/>
        <v>6983.9404909900786</v>
      </c>
      <c r="M130" s="20">
        <f t="shared" si="106"/>
        <v>7049.3049448294387</v>
      </c>
      <c r="N130" s="20">
        <f t="shared" si="106"/>
        <v>7114.6693986687978</v>
      </c>
      <c r="O130" s="20">
        <f t="shared" si="106"/>
        <v>7180.0338525081588</v>
      </c>
      <c r="P130" s="20">
        <f t="shared" si="106"/>
        <v>7245.398306347518</v>
      </c>
      <c r="Q130" s="20">
        <f t="shared" si="106"/>
        <v>7300.7066903654386</v>
      </c>
      <c r="R130" s="20">
        <f t="shared" si="106"/>
        <v>7340.9309696511991</v>
      </c>
      <c r="S130" s="24">
        <f t="shared" si="106"/>
        <v>7381.1552489369587</v>
      </c>
      <c r="T130" s="24">
        <f t="shared" si="103"/>
        <v>6755.1649025523184</v>
      </c>
      <c r="U130" s="24">
        <f t="shared" si="104"/>
        <v>81061.978830627821</v>
      </c>
    </row>
    <row r="131" spans="1:21" x14ac:dyDescent="0.3">
      <c r="B131" s="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</row>
    <row r="132" spans="1:21" ht="14.4" thickBot="1" x14ac:dyDescent="0.35">
      <c r="A132" s="6" t="s">
        <v>57</v>
      </c>
      <c r="B132" s="6"/>
      <c r="C132" s="29"/>
      <c r="D132" s="29"/>
      <c r="E132" s="29"/>
      <c r="F132" s="29"/>
      <c r="G132" s="29" t="s">
        <v>58</v>
      </c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</row>
    <row r="133" spans="1:21" x14ac:dyDescent="0.3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39" t="s">
        <v>7</v>
      </c>
      <c r="U133" s="40"/>
    </row>
    <row r="134" spans="1:21" ht="12.75" customHeight="1" x14ac:dyDescent="0.3">
      <c r="A134" s="45" t="s">
        <v>4</v>
      </c>
      <c r="B134" s="45" t="s">
        <v>5</v>
      </c>
      <c r="C134" s="51">
        <f>C19</f>
        <v>7260.2073413128401</v>
      </c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3"/>
      <c r="T134" s="41"/>
      <c r="U134" s="42"/>
    </row>
    <row r="135" spans="1:21" ht="14.4" thickBot="1" x14ac:dyDescent="0.35">
      <c r="A135" s="46"/>
      <c r="B135" s="46"/>
      <c r="C135" s="10" t="s">
        <v>8</v>
      </c>
      <c r="D135" s="11" t="s">
        <v>9</v>
      </c>
      <c r="E135" s="10" t="s">
        <v>10</v>
      </c>
      <c r="F135" s="11" t="s">
        <v>11</v>
      </c>
      <c r="G135" s="10" t="s">
        <v>12</v>
      </c>
      <c r="H135" s="11" t="s">
        <v>13</v>
      </c>
      <c r="I135" s="10" t="s">
        <v>14</v>
      </c>
      <c r="J135" s="11" t="s">
        <v>15</v>
      </c>
      <c r="K135" s="10" t="s">
        <v>16</v>
      </c>
      <c r="L135" s="11" t="s">
        <v>17</v>
      </c>
      <c r="M135" s="10" t="s">
        <v>18</v>
      </c>
      <c r="N135" s="11" t="s">
        <v>19</v>
      </c>
      <c r="O135" s="10" t="s">
        <v>20</v>
      </c>
      <c r="P135" s="11" t="s">
        <v>21</v>
      </c>
      <c r="Q135" s="10" t="s">
        <v>22</v>
      </c>
      <c r="R135" s="11" t="s">
        <v>23</v>
      </c>
      <c r="S135" s="10" t="s">
        <v>24</v>
      </c>
      <c r="T135" s="43"/>
      <c r="U135" s="44"/>
    </row>
    <row r="136" spans="1:21" ht="55.2" x14ac:dyDescent="0.3">
      <c r="A136" s="47"/>
      <c r="B136" s="47"/>
      <c r="C136" s="12" t="s">
        <v>25</v>
      </c>
      <c r="D136" s="13" t="s">
        <v>26</v>
      </c>
      <c r="E136" s="12" t="s">
        <v>27</v>
      </c>
      <c r="F136" s="13" t="s">
        <v>28</v>
      </c>
      <c r="G136" s="12" t="s">
        <v>29</v>
      </c>
      <c r="H136" s="13" t="s">
        <v>30</v>
      </c>
      <c r="I136" s="12" t="s">
        <v>31</v>
      </c>
      <c r="J136" s="13" t="s">
        <v>32</v>
      </c>
      <c r="K136" s="12" t="s">
        <v>33</v>
      </c>
      <c r="L136" s="13" t="s">
        <v>34</v>
      </c>
      <c r="M136" s="12" t="s">
        <v>35</v>
      </c>
      <c r="N136" s="13" t="s">
        <v>36</v>
      </c>
      <c r="O136" s="12" t="s">
        <v>37</v>
      </c>
      <c r="P136" s="13" t="s">
        <v>38</v>
      </c>
      <c r="Q136" s="12" t="s">
        <v>39</v>
      </c>
      <c r="R136" s="13" t="s">
        <v>40</v>
      </c>
      <c r="S136" s="12" t="s">
        <v>41</v>
      </c>
      <c r="T136" s="21" t="s">
        <v>42</v>
      </c>
      <c r="U136" s="22" t="s">
        <v>43</v>
      </c>
    </row>
    <row r="137" spans="1:21" x14ac:dyDescent="0.3">
      <c r="A137" s="30" t="s">
        <v>50</v>
      </c>
      <c r="B137" s="31">
        <f>B13</f>
        <v>5306.9885691617274</v>
      </c>
      <c r="C137" s="18">
        <f>SUM(C13)</f>
        <v>5736.8546432638268</v>
      </c>
      <c r="D137" s="18">
        <f>SUM(D13)</f>
        <v>5848.3014032162237</v>
      </c>
      <c r="E137" s="18">
        <f>SUM(E13)</f>
        <v>5965.0551517377826</v>
      </c>
      <c r="F137" s="18">
        <f>SUM(F13)</f>
        <v>6076.5019116901776</v>
      </c>
      <c r="G137" s="18">
        <f>SUM(G13)</f>
        <v>6177.3346945042504</v>
      </c>
      <c r="H137" s="18">
        <f>SUM(H13)</f>
        <v>6246.3255459033535</v>
      </c>
      <c r="I137" s="18">
        <f>SUM(I13)</f>
        <v>6315.3163973024557</v>
      </c>
      <c r="J137" s="18">
        <f>SUM(J13)</f>
        <v>6384.3072487015588</v>
      </c>
      <c r="K137" s="18">
        <f>SUM(K13)</f>
        <v>6453.2981001006601</v>
      </c>
      <c r="L137" s="18">
        <f>SUM(L13)</f>
        <v>6522.2889514997632</v>
      </c>
      <c r="M137" s="18">
        <f>SUM(M13)</f>
        <v>6591.2798028988655</v>
      </c>
      <c r="N137" s="18">
        <f>SUM(N13)</f>
        <v>6660.2706542979677</v>
      </c>
      <c r="O137" s="18">
        <f>SUM(O13)</f>
        <v>6729.2615056970708</v>
      </c>
      <c r="P137" s="18">
        <f>SUM(P13)</f>
        <v>6798.2523570961721</v>
      </c>
      <c r="Q137" s="18">
        <f>SUM(Q13)</f>
        <v>6856.629231356952</v>
      </c>
      <c r="R137" s="18">
        <f>SUM(R13)</f>
        <v>6899.0851399102457</v>
      </c>
      <c r="S137" s="23">
        <f>SUM(S13)</f>
        <v>6941.5410484635395</v>
      </c>
      <c r="T137" s="23">
        <f>AVERAGE(G137:J137)</f>
        <v>6280.820971602905</v>
      </c>
      <c r="U137" s="23">
        <f>T137*12</f>
        <v>75369.851659234861</v>
      </c>
    </row>
    <row r="138" spans="1:21" x14ac:dyDescent="0.3">
      <c r="A138" s="32" t="s">
        <v>51</v>
      </c>
      <c r="B138" s="31">
        <f>SUM(B137*1.04)</f>
        <v>5519.268111928197</v>
      </c>
      <c r="C138" s="18">
        <f>SUM(C32)</f>
        <v>5949.1341860302955</v>
      </c>
      <c r="D138" s="18">
        <f>SUM(D32)</f>
        <v>6060.5809459826924</v>
      </c>
      <c r="E138" s="18">
        <f>SUM(E32)</f>
        <v>6177.3346945042513</v>
      </c>
      <c r="F138" s="18">
        <f>SUM(F32)</f>
        <v>6288.7814544566463</v>
      </c>
      <c r="G138" s="18">
        <f>SUM(G32)</f>
        <v>6389.6142372707191</v>
      </c>
      <c r="H138" s="18">
        <f>SUM(H32)</f>
        <v>6458.6050886698222</v>
      </c>
      <c r="I138" s="18">
        <f>SUM(I32)</f>
        <v>6527.5959400689244</v>
      </c>
      <c r="J138" s="18">
        <f>SUM(J32)</f>
        <v>6596.5867914680275</v>
      </c>
      <c r="K138" s="18">
        <f>SUM(K32)</f>
        <v>6665.5776428671288</v>
      </c>
      <c r="L138" s="18">
        <f>SUM(L32)</f>
        <v>6734.5684942662319</v>
      </c>
      <c r="M138" s="18">
        <f>SUM(M32)</f>
        <v>6803.5593456653341</v>
      </c>
      <c r="N138" s="18">
        <f>SUM(N32)</f>
        <v>6872.5501970644364</v>
      </c>
      <c r="O138" s="18">
        <f>SUM(O32)</f>
        <v>6941.5410484635395</v>
      </c>
      <c r="P138" s="18">
        <f>SUM(P32)</f>
        <v>7010.5318998626408</v>
      </c>
      <c r="Q138" s="18">
        <f>SUM(Q32)</f>
        <v>7068.9087741234207</v>
      </c>
      <c r="R138" s="18">
        <f>SUM(R32)</f>
        <v>7111.3646826767144</v>
      </c>
      <c r="S138" s="23">
        <f>SUM(S32)</f>
        <v>7153.8205912300082</v>
      </c>
      <c r="T138" s="23">
        <f t="shared" ref="T138:T141" si="107">AVERAGE(G138:J138)</f>
        <v>6493.1005143693728</v>
      </c>
      <c r="U138" s="23">
        <f t="shared" ref="U138:U141" si="108">T138*12</f>
        <v>77917.206172432474</v>
      </c>
    </row>
    <row r="139" spans="1:21" x14ac:dyDescent="0.3">
      <c r="A139" s="32" t="s">
        <v>52</v>
      </c>
      <c r="B139" s="31">
        <f>SUM(B137*1.07)</f>
        <v>5678.4777690030487</v>
      </c>
      <c r="C139" s="18">
        <f>SUM(C50)</f>
        <v>6108.3438431051482</v>
      </c>
      <c r="D139" s="18">
        <f>SUM(D50)</f>
        <v>6219.790603057545</v>
      </c>
      <c r="E139" s="18">
        <f>SUM(E50)</f>
        <v>6336.5443515791039</v>
      </c>
      <c r="F139" s="18">
        <f>SUM(F50)</f>
        <v>6447.991111531499</v>
      </c>
      <c r="G139" s="18">
        <f>SUM(G50)</f>
        <v>6548.8238943455717</v>
      </c>
      <c r="H139" s="18">
        <f>SUM(H50)</f>
        <v>6617.8147457446748</v>
      </c>
      <c r="I139" s="18">
        <f>SUM(I50)</f>
        <v>6686.805597143777</v>
      </c>
      <c r="J139" s="18">
        <f>SUM(J50)</f>
        <v>6755.7964485428802</v>
      </c>
      <c r="K139" s="18">
        <f>SUM(K50)</f>
        <v>6824.7872999419815</v>
      </c>
      <c r="L139" s="18">
        <f>SUM(L50)</f>
        <v>6893.7781513410846</v>
      </c>
      <c r="M139" s="18">
        <f>SUM(M50)</f>
        <v>6962.7690027401868</v>
      </c>
      <c r="N139" s="18">
        <f>SUM(N50)</f>
        <v>7031.759854139289</v>
      </c>
      <c r="O139" s="18">
        <f>SUM(O50)</f>
        <v>7100.7507055383921</v>
      </c>
      <c r="P139" s="18">
        <f>SUM(P50)</f>
        <v>7169.7415569374934</v>
      </c>
      <c r="Q139" s="18">
        <f>SUM(Q50)</f>
        <v>7228.1184311982734</v>
      </c>
      <c r="R139" s="18">
        <f>SUM(R50)</f>
        <v>7270.5743397515671</v>
      </c>
      <c r="S139" s="23">
        <f>SUM(S50)</f>
        <v>7313.0302483048608</v>
      </c>
      <c r="T139" s="23">
        <f t="shared" si="107"/>
        <v>6652.3101714442255</v>
      </c>
      <c r="U139" s="23">
        <f t="shared" si="108"/>
        <v>79827.722057330713</v>
      </c>
    </row>
    <row r="140" spans="1:21" x14ac:dyDescent="0.3">
      <c r="A140" s="32" t="s">
        <v>53</v>
      </c>
      <c r="B140" s="31">
        <f>SUM(B137*1.12)</f>
        <v>5943.8271974611353</v>
      </c>
      <c r="C140" s="18">
        <f t="shared" ref="C140:S140" si="109">SUM(C70)</f>
        <v>6373.6932715632338</v>
      </c>
      <c r="D140" s="18">
        <f t="shared" si="109"/>
        <v>6485.1400315156307</v>
      </c>
      <c r="E140" s="18">
        <f t="shared" si="109"/>
        <v>6601.8937800371896</v>
      </c>
      <c r="F140" s="18">
        <f t="shared" si="109"/>
        <v>6713.3405399895846</v>
      </c>
      <c r="G140" s="18">
        <f t="shared" si="109"/>
        <v>6814.1733228036574</v>
      </c>
      <c r="H140" s="18">
        <f t="shared" si="109"/>
        <v>6883.1641742027605</v>
      </c>
      <c r="I140" s="18">
        <f t="shared" si="109"/>
        <v>6952.1550256018627</v>
      </c>
      <c r="J140" s="18">
        <f t="shared" si="109"/>
        <v>7021.1458770009658</v>
      </c>
      <c r="K140" s="18">
        <f t="shared" si="109"/>
        <v>7090.1367284000671</v>
      </c>
      <c r="L140" s="18">
        <f t="shared" si="109"/>
        <v>7159.1275797991702</v>
      </c>
      <c r="M140" s="18">
        <f t="shared" si="109"/>
        <v>7228.1184311982724</v>
      </c>
      <c r="N140" s="18">
        <f t="shared" si="109"/>
        <v>7297.1092825973747</v>
      </c>
      <c r="O140" s="18">
        <f t="shared" si="109"/>
        <v>7366.1001339964778</v>
      </c>
      <c r="P140" s="18">
        <f t="shared" si="109"/>
        <v>7435.0909853955791</v>
      </c>
      <c r="Q140" s="18">
        <f t="shared" si="109"/>
        <v>7493.467859656359</v>
      </c>
      <c r="R140" s="18">
        <f t="shared" si="109"/>
        <v>7535.9237682096527</v>
      </c>
      <c r="S140" s="23">
        <f t="shared" si="109"/>
        <v>7578.3796767629465</v>
      </c>
      <c r="T140" s="23">
        <f t="shared" si="107"/>
        <v>6917.659599902312</v>
      </c>
      <c r="U140" s="23">
        <f t="shared" si="108"/>
        <v>83011.915198827744</v>
      </c>
    </row>
    <row r="141" spans="1:21" x14ac:dyDescent="0.3">
      <c r="A141" s="33" t="s">
        <v>54</v>
      </c>
      <c r="B141" s="34">
        <f>SUM(B137*1.16)</f>
        <v>6156.106740227603</v>
      </c>
      <c r="C141" s="20">
        <f>SUM(C88)</f>
        <v>6585.9728143297034</v>
      </c>
      <c r="D141" s="20">
        <f t="shared" ref="D141:S141" si="110">SUM(D88)</f>
        <v>6697.4195742821003</v>
      </c>
      <c r="E141" s="20">
        <f t="shared" si="110"/>
        <v>6814.1733228036592</v>
      </c>
      <c r="F141" s="20">
        <f t="shared" si="110"/>
        <v>6925.6200827560542</v>
      </c>
      <c r="G141" s="20">
        <f t="shared" si="110"/>
        <v>7026.452865570127</v>
      </c>
      <c r="H141" s="20">
        <f t="shared" si="110"/>
        <v>7095.4437169692301</v>
      </c>
      <c r="I141" s="20">
        <f t="shared" si="110"/>
        <v>7164.4345683683323</v>
      </c>
      <c r="J141" s="20">
        <f t="shared" si="110"/>
        <v>7233.4254197674354</v>
      </c>
      <c r="K141" s="20">
        <f t="shared" si="110"/>
        <v>7302.4162711665367</v>
      </c>
      <c r="L141" s="20">
        <f t="shared" si="110"/>
        <v>7371.4071225656398</v>
      </c>
      <c r="M141" s="20">
        <f t="shared" si="110"/>
        <v>7440.3979739647421</v>
      </c>
      <c r="N141" s="20">
        <f t="shared" si="110"/>
        <v>7509.3888253638443</v>
      </c>
      <c r="O141" s="20">
        <f t="shared" si="110"/>
        <v>7578.3796767629474</v>
      </c>
      <c r="P141" s="20">
        <f t="shared" si="110"/>
        <v>7647.3705281620487</v>
      </c>
      <c r="Q141" s="20">
        <f t="shared" si="110"/>
        <v>7705.7474024228286</v>
      </c>
      <c r="R141" s="20">
        <f t="shared" si="110"/>
        <v>7748.2033109761223</v>
      </c>
      <c r="S141" s="24">
        <f t="shared" si="110"/>
        <v>7790.6592195294161</v>
      </c>
      <c r="T141" s="24">
        <f t="shared" si="107"/>
        <v>7129.9391426687807</v>
      </c>
      <c r="U141" s="24">
        <f t="shared" si="108"/>
        <v>85559.269712025372</v>
      </c>
    </row>
    <row r="142" spans="1:21" x14ac:dyDescent="0.3">
      <c r="B142" s="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</row>
    <row r="143" spans="1:21" ht="14.4" thickBot="1" x14ac:dyDescent="0.35">
      <c r="A143" s="6" t="s">
        <v>59</v>
      </c>
      <c r="B143" s="6"/>
      <c r="C143" s="29"/>
      <c r="D143" s="29"/>
      <c r="E143" s="29"/>
      <c r="F143" s="29"/>
      <c r="G143" s="29" t="str">
        <f>'[1]01082014 tarkentava ves'!G155</f>
        <v>kravnivå 16</v>
      </c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</row>
    <row r="144" spans="1:21" x14ac:dyDescent="0.3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39" t="s">
        <v>7</v>
      </c>
      <c r="U144" s="40"/>
    </row>
    <row r="145" spans="1:21" ht="12.75" customHeight="1" x14ac:dyDescent="0.3">
      <c r="A145" s="45" t="s">
        <v>4</v>
      </c>
      <c r="B145" s="45" t="s">
        <v>5</v>
      </c>
      <c r="C145" s="51" t="str">
        <f>C6</f>
        <v>Suorituspisteet ja suoritustasot / Prestationspoäng och prestationsnivå</v>
      </c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3"/>
      <c r="T145" s="41"/>
      <c r="U145" s="42"/>
    </row>
    <row r="146" spans="1:21" ht="14.4" thickBot="1" x14ac:dyDescent="0.35">
      <c r="A146" s="46"/>
      <c r="B146" s="46"/>
      <c r="C146" s="10" t="s">
        <v>8</v>
      </c>
      <c r="D146" s="11" t="s">
        <v>9</v>
      </c>
      <c r="E146" s="10" t="s">
        <v>10</v>
      </c>
      <c r="F146" s="11" t="s">
        <v>11</v>
      </c>
      <c r="G146" s="10" t="s">
        <v>12</v>
      </c>
      <c r="H146" s="11" t="s">
        <v>13</v>
      </c>
      <c r="I146" s="10" t="s">
        <v>14</v>
      </c>
      <c r="J146" s="11" t="s">
        <v>15</v>
      </c>
      <c r="K146" s="10" t="s">
        <v>16</v>
      </c>
      <c r="L146" s="11" t="s">
        <v>17</v>
      </c>
      <c r="M146" s="10" t="s">
        <v>18</v>
      </c>
      <c r="N146" s="11" t="s">
        <v>19</v>
      </c>
      <c r="O146" s="10" t="s">
        <v>20</v>
      </c>
      <c r="P146" s="11" t="s">
        <v>21</v>
      </c>
      <c r="Q146" s="10" t="s">
        <v>22</v>
      </c>
      <c r="R146" s="11" t="s">
        <v>23</v>
      </c>
      <c r="S146" s="10" t="s">
        <v>24</v>
      </c>
      <c r="T146" s="43"/>
      <c r="U146" s="44"/>
    </row>
    <row r="147" spans="1:21" ht="55.2" x14ac:dyDescent="0.3">
      <c r="A147" s="47"/>
      <c r="B147" s="47"/>
      <c r="C147" s="12" t="s">
        <v>25</v>
      </c>
      <c r="D147" s="13" t="s">
        <v>26</v>
      </c>
      <c r="E147" s="12" t="s">
        <v>27</v>
      </c>
      <c r="F147" s="13" t="s">
        <v>28</v>
      </c>
      <c r="G147" s="12" t="s">
        <v>29</v>
      </c>
      <c r="H147" s="13" t="s">
        <v>30</v>
      </c>
      <c r="I147" s="12" t="s">
        <v>31</v>
      </c>
      <c r="J147" s="13" t="s">
        <v>32</v>
      </c>
      <c r="K147" s="12" t="s">
        <v>33</v>
      </c>
      <c r="L147" s="13" t="s">
        <v>34</v>
      </c>
      <c r="M147" s="12" t="s">
        <v>35</v>
      </c>
      <c r="N147" s="13" t="s">
        <v>36</v>
      </c>
      <c r="O147" s="12" t="s">
        <v>37</v>
      </c>
      <c r="P147" s="13" t="s">
        <v>38</v>
      </c>
      <c r="Q147" s="12" t="s">
        <v>39</v>
      </c>
      <c r="R147" s="13" t="s">
        <v>40</v>
      </c>
      <c r="S147" s="12" t="s">
        <v>41</v>
      </c>
      <c r="T147" s="21" t="s">
        <v>42</v>
      </c>
      <c r="U147" s="22" t="s">
        <v>43</v>
      </c>
    </row>
    <row r="148" spans="1:21" x14ac:dyDescent="0.3">
      <c r="A148" s="30" t="s">
        <v>50</v>
      </c>
      <c r="B148" s="26">
        <f>B15</f>
        <v>5506.4656895999988</v>
      </c>
      <c r="C148" s="35">
        <f>SUM(C15)</f>
        <v>5952.4894104575988</v>
      </c>
      <c r="D148" s="35">
        <f>SUM(D15)</f>
        <v>6068.1251899391991</v>
      </c>
      <c r="E148" s="35">
        <f>SUM(E15)</f>
        <v>6189.2674351103997</v>
      </c>
      <c r="F148" s="35">
        <f>SUM(F15)</f>
        <v>6304.9032145919991</v>
      </c>
      <c r="G148" s="35">
        <f>SUM(G15)</f>
        <v>6409.5260626943982</v>
      </c>
      <c r="H148" s="35">
        <f>SUM(H15)</f>
        <v>6481.1101166591989</v>
      </c>
      <c r="I148" s="35">
        <f>SUM(I15)</f>
        <v>6552.6941706239986</v>
      </c>
      <c r="J148" s="35">
        <f>SUM(J15)</f>
        <v>6624.2782245887993</v>
      </c>
      <c r="K148" s="35">
        <f>SUM(K15)</f>
        <v>6695.8622785535981</v>
      </c>
      <c r="L148" s="35">
        <f>SUM(L15)</f>
        <v>6767.4463325183988</v>
      </c>
      <c r="M148" s="35">
        <f>SUM(M15)</f>
        <v>6839.0303864831985</v>
      </c>
      <c r="N148" s="35">
        <f>SUM(N15)</f>
        <v>6910.6144404479983</v>
      </c>
      <c r="O148" s="35">
        <f>SUM(O15)</f>
        <v>6982.1984944127989</v>
      </c>
      <c r="P148" s="35">
        <f>SUM(P15)</f>
        <v>7053.7825483775978</v>
      </c>
      <c r="Q148" s="35">
        <f>SUM(Q15)</f>
        <v>7114.353670963199</v>
      </c>
      <c r="R148" s="35">
        <f>SUM(R15)</f>
        <v>7158.4053964799987</v>
      </c>
      <c r="S148" s="36">
        <f>SUM(S15)</f>
        <v>7202.4571219967984</v>
      </c>
      <c r="T148" s="23">
        <f>AVERAGE(G148:J148)</f>
        <v>6516.9021436415987</v>
      </c>
      <c r="U148" s="23">
        <f>T148*12</f>
        <v>78202.825723699178</v>
      </c>
    </row>
    <row r="149" spans="1:21" x14ac:dyDescent="0.3">
      <c r="A149" s="32" t="s">
        <v>51</v>
      </c>
      <c r="B149" s="26">
        <f>SUM(B148*1.04)</f>
        <v>5726.7243171839991</v>
      </c>
      <c r="C149" s="35">
        <f>SUM(C34)</f>
        <v>6172.7480380415991</v>
      </c>
      <c r="D149" s="35">
        <f>SUM(D34)</f>
        <v>6288.3838175231995</v>
      </c>
      <c r="E149" s="35">
        <f>SUM(E34)</f>
        <v>6409.5260626944</v>
      </c>
      <c r="F149" s="35">
        <f>SUM(F34)</f>
        <v>6525.1618421759995</v>
      </c>
      <c r="G149" s="35">
        <f>SUM(G34)</f>
        <v>6629.7846902783986</v>
      </c>
      <c r="H149" s="35">
        <f>SUM(H34)</f>
        <v>6701.3687442431992</v>
      </c>
      <c r="I149" s="35">
        <f>SUM(I34)</f>
        <v>6772.952798207999</v>
      </c>
      <c r="J149" s="35">
        <f>SUM(J34)</f>
        <v>6844.5368521727996</v>
      </c>
      <c r="K149" s="35">
        <f>SUM(K34)</f>
        <v>6916.1209061375985</v>
      </c>
      <c r="L149" s="35">
        <f>SUM(L34)</f>
        <v>6987.7049601023991</v>
      </c>
      <c r="M149" s="35">
        <f>SUM(M34)</f>
        <v>7059.2890140671989</v>
      </c>
      <c r="N149" s="35">
        <f>SUM(N34)</f>
        <v>7130.8730680319986</v>
      </c>
      <c r="O149" s="35">
        <f>SUM(O34)</f>
        <v>7202.4571219967993</v>
      </c>
      <c r="P149" s="35">
        <f>SUM(P34)</f>
        <v>7274.0411759615981</v>
      </c>
      <c r="Q149" s="35">
        <f>SUM(Q34)</f>
        <v>7334.6122985471993</v>
      </c>
      <c r="R149" s="35">
        <f>SUM(R34)</f>
        <v>7378.664024063999</v>
      </c>
      <c r="S149" s="36">
        <f>SUM(S34)</f>
        <v>7422.7157495807987</v>
      </c>
      <c r="T149" s="23">
        <f t="shared" ref="T149:T152" si="111">AVERAGE(G149:J149)</f>
        <v>6737.1607712255991</v>
      </c>
      <c r="U149" s="23">
        <f t="shared" ref="U149:U152" si="112">T149*12</f>
        <v>80845.929254707182</v>
      </c>
    </row>
    <row r="150" spans="1:21" x14ac:dyDescent="0.3">
      <c r="A150" s="32" t="s">
        <v>52</v>
      </c>
      <c r="B150" s="26">
        <f>SUM(B148*1.07)</f>
        <v>5891.9182878719994</v>
      </c>
      <c r="C150" s="35">
        <f>SUM(C52)</f>
        <v>6337.9420087295985</v>
      </c>
      <c r="D150" s="35">
        <f>SUM(D52)</f>
        <v>6453.5777882111988</v>
      </c>
      <c r="E150" s="35">
        <f>SUM(E52)</f>
        <v>6574.7200333823994</v>
      </c>
      <c r="F150" s="35">
        <f>SUM(F52)</f>
        <v>6690.3558128639988</v>
      </c>
      <c r="G150" s="35">
        <f>SUM(G52)</f>
        <v>6794.9786609663979</v>
      </c>
      <c r="H150" s="35">
        <f>SUM(H52)</f>
        <v>6866.5627149311986</v>
      </c>
      <c r="I150" s="35">
        <f>SUM(I52)</f>
        <v>6938.1467688959983</v>
      </c>
      <c r="J150" s="35">
        <f>SUM(J52)</f>
        <v>7009.730822860799</v>
      </c>
      <c r="K150" s="35">
        <f>SUM(K52)</f>
        <v>7081.3148768255978</v>
      </c>
      <c r="L150" s="35">
        <f>SUM(L52)</f>
        <v>7152.8989307903985</v>
      </c>
      <c r="M150" s="35">
        <f>SUM(M52)</f>
        <v>7224.4829847551982</v>
      </c>
      <c r="N150" s="35">
        <f>SUM(N52)</f>
        <v>7296.067038719998</v>
      </c>
      <c r="O150" s="35">
        <f>SUM(O52)</f>
        <v>7367.6510926847986</v>
      </c>
      <c r="P150" s="35">
        <f>SUM(P52)</f>
        <v>7439.2351466495975</v>
      </c>
      <c r="Q150" s="35">
        <f>SUM(Q52)</f>
        <v>7499.8062692351987</v>
      </c>
      <c r="R150" s="35">
        <f>SUM(R52)</f>
        <v>7543.8579947519984</v>
      </c>
      <c r="S150" s="36">
        <f>SUM(S52)</f>
        <v>7587.9097202687981</v>
      </c>
      <c r="T150" s="23">
        <f t="shared" si="111"/>
        <v>6902.3547419135984</v>
      </c>
      <c r="U150" s="23">
        <f t="shared" si="112"/>
        <v>82828.256902963185</v>
      </c>
    </row>
    <row r="151" spans="1:21" x14ac:dyDescent="0.3">
      <c r="A151" s="32" t="s">
        <v>53</v>
      </c>
      <c r="B151" s="26">
        <f>SUM(B148*1.12)</f>
        <v>6167.2415723519989</v>
      </c>
      <c r="C151" s="35">
        <f t="shared" ref="C151:S151" si="113">SUM(C72)</f>
        <v>6613.2652932095989</v>
      </c>
      <c r="D151" s="35">
        <f t="shared" si="113"/>
        <v>6728.9010726911993</v>
      </c>
      <c r="E151" s="35">
        <f t="shared" si="113"/>
        <v>6850.0433178623998</v>
      </c>
      <c r="F151" s="35">
        <f t="shared" si="113"/>
        <v>6965.6790973439993</v>
      </c>
      <c r="G151" s="35">
        <f t="shared" si="113"/>
        <v>7070.3019454463983</v>
      </c>
      <c r="H151" s="35">
        <f t="shared" si="113"/>
        <v>7141.885999411199</v>
      </c>
      <c r="I151" s="35">
        <f t="shared" si="113"/>
        <v>7213.4700533759988</v>
      </c>
      <c r="J151" s="35">
        <f t="shared" si="113"/>
        <v>7285.0541073407994</v>
      </c>
      <c r="K151" s="35">
        <f t="shared" si="113"/>
        <v>7356.6381613055983</v>
      </c>
      <c r="L151" s="35">
        <f t="shared" si="113"/>
        <v>7428.2222152703989</v>
      </c>
      <c r="M151" s="35">
        <f t="shared" si="113"/>
        <v>7499.8062692351987</v>
      </c>
      <c r="N151" s="35">
        <f t="shared" si="113"/>
        <v>7571.3903231999984</v>
      </c>
      <c r="O151" s="35">
        <f t="shared" si="113"/>
        <v>7642.9743771647991</v>
      </c>
      <c r="P151" s="35">
        <f t="shared" si="113"/>
        <v>7714.5584311295979</v>
      </c>
      <c r="Q151" s="35">
        <f t="shared" si="113"/>
        <v>7775.1295537151991</v>
      </c>
      <c r="R151" s="35">
        <f t="shared" si="113"/>
        <v>7819.1812792319988</v>
      </c>
      <c r="S151" s="36">
        <f t="shared" si="113"/>
        <v>7863.2330047487985</v>
      </c>
      <c r="T151" s="23">
        <f t="shared" si="111"/>
        <v>7177.6780263935989</v>
      </c>
      <c r="U151" s="23">
        <f t="shared" si="112"/>
        <v>86132.13631672319</v>
      </c>
    </row>
    <row r="152" spans="1:21" x14ac:dyDescent="0.3">
      <c r="A152" s="33" t="s">
        <v>54</v>
      </c>
      <c r="B152" s="28">
        <f>SUM(B148*1.16)</f>
        <v>6387.5001999359984</v>
      </c>
      <c r="C152" s="37">
        <f>SUM(C90)</f>
        <v>6833.5239207935983</v>
      </c>
      <c r="D152" s="37">
        <f t="shared" ref="D152:S152" si="114">SUM(D90)</f>
        <v>6949.1597002751987</v>
      </c>
      <c r="E152" s="37">
        <f t="shared" si="114"/>
        <v>7070.3019454463993</v>
      </c>
      <c r="F152" s="37">
        <f t="shared" si="114"/>
        <v>7185.9377249279987</v>
      </c>
      <c r="G152" s="37">
        <f t="shared" si="114"/>
        <v>7290.5605730303978</v>
      </c>
      <c r="H152" s="37">
        <f t="shared" si="114"/>
        <v>7362.1446269951985</v>
      </c>
      <c r="I152" s="37">
        <f t="shared" si="114"/>
        <v>7433.7286809599982</v>
      </c>
      <c r="J152" s="37">
        <f t="shared" si="114"/>
        <v>7505.3127349247989</v>
      </c>
      <c r="K152" s="37">
        <f t="shared" si="114"/>
        <v>7576.8967888895977</v>
      </c>
      <c r="L152" s="37">
        <f t="shared" si="114"/>
        <v>7648.4808428543984</v>
      </c>
      <c r="M152" s="37">
        <f t="shared" si="114"/>
        <v>7720.0648968191981</v>
      </c>
      <c r="N152" s="37">
        <f t="shared" si="114"/>
        <v>7791.6489507839979</v>
      </c>
      <c r="O152" s="37">
        <f t="shared" si="114"/>
        <v>7863.2330047487985</v>
      </c>
      <c r="P152" s="37">
        <f t="shared" si="114"/>
        <v>7934.8170587135974</v>
      </c>
      <c r="Q152" s="37">
        <f t="shared" si="114"/>
        <v>7995.3881812991985</v>
      </c>
      <c r="R152" s="37">
        <f t="shared" si="114"/>
        <v>8039.4399068159983</v>
      </c>
      <c r="S152" s="38">
        <f t="shared" si="114"/>
        <v>8083.491632332798</v>
      </c>
      <c r="T152" s="24">
        <f t="shared" si="111"/>
        <v>7397.9366539775983</v>
      </c>
      <c r="U152" s="24">
        <f t="shared" si="112"/>
        <v>88775.23984773118</v>
      </c>
    </row>
    <row r="153" spans="1:21" x14ac:dyDescent="0.3">
      <c r="B153" s="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</row>
    <row r="154" spans="1:21" ht="14.4" thickBot="1" x14ac:dyDescent="0.35">
      <c r="A154" s="6" t="s">
        <v>60</v>
      </c>
      <c r="B154" s="6"/>
      <c r="C154" s="29"/>
      <c r="D154" s="29"/>
      <c r="E154" s="29"/>
      <c r="F154" s="29"/>
      <c r="G154" s="29" t="s">
        <v>61</v>
      </c>
    </row>
    <row r="155" spans="1:21" x14ac:dyDescent="0.3">
      <c r="C155" s="18"/>
      <c r="D155" s="18"/>
      <c r="E155" s="18"/>
      <c r="F155" s="18"/>
      <c r="G155" s="18"/>
      <c r="T155" s="39" t="s">
        <v>7</v>
      </c>
      <c r="U155" s="40"/>
    </row>
    <row r="156" spans="1:21" ht="12.75" customHeight="1" x14ac:dyDescent="0.3">
      <c r="A156" s="45" t="s">
        <v>4</v>
      </c>
      <c r="B156" s="45" t="s">
        <v>5</v>
      </c>
      <c r="C156" s="48" t="s">
        <v>6</v>
      </c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50"/>
      <c r="T156" s="41"/>
      <c r="U156" s="42"/>
    </row>
    <row r="157" spans="1:21" ht="14.4" thickBot="1" x14ac:dyDescent="0.35">
      <c r="A157" s="46"/>
      <c r="B157" s="46"/>
      <c r="C157" s="10" t="s">
        <v>8</v>
      </c>
      <c r="D157" s="11" t="s">
        <v>9</v>
      </c>
      <c r="E157" s="10" t="s">
        <v>10</v>
      </c>
      <c r="F157" s="11" t="s">
        <v>11</v>
      </c>
      <c r="G157" s="10" t="s">
        <v>12</v>
      </c>
      <c r="H157" s="11" t="s">
        <v>13</v>
      </c>
      <c r="I157" s="10" t="s">
        <v>14</v>
      </c>
      <c r="J157" s="11" t="s">
        <v>15</v>
      </c>
      <c r="K157" s="10" t="s">
        <v>16</v>
      </c>
      <c r="L157" s="11" t="s">
        <v>17</v>
      </c>
      <c r="M157" s="10" t="s">
        <v>18</v>
      </c>
      <c r="N157" s="11" t="s">
        <v>19</v>
      </c>
      <c r="O157" s="10" t="s">
        <v>20</v>
      </c>
      <c r="P157" s="11" t="s">
        <v>21</v>
      </c>
      <c r="Q157" s="10" t="s">
        <v>22</v>
      </c>
      <c r="R157" s="11" t="s">
        <v>23</v>
      </c>
      <c r="S157" s="10" t="s">
        <v>24</v>
      </c>
      <c r="T157" s="43"/>
      <c r="U157" s="44"/>
    </row>
    <row r="158" spans="1:21" ht="55.2" x14ac:dyDescent="0.3">
      <c r="A158" s="47"/>
      <c r="B158" s="47"/>
      <c r="C158" s="12" t="s">
        <v>25</v>
      </c>
      <c r="D158" s="13" t="s">
        <v>26</v>
      </c>
      <c r="E158" s="12" t="s">
        <v>27</v>
      </c>
      <c r="F158" s="13" t="s">
        <v>28</v>
      </c>
      <c r="G158" s="12" t="s">
        <v>29</v>
      </c>
      <c r="H158" s="13" t="s">
        <v>30</v>
      </c>
      <c r="I158" s="12" t="s">
        <v>31</v>
      </c>
      <c r="J158" s="13" t="s">
        <v>32</v>
      </c>
      <c r="K158" s="12" t="s">
        <v>33</v>
      </c>
      <c r="L158" s="13" t="s">
        <v>34</v>
      </c>
      <c r="M158" s="12" t="s">
        <v>35</v>
      </c>
      <c r="N158" s="13" t="s">
        <v>36</v>
      </c>
      <c r="O158" s="12" t="s">
        <v>37</v>
      </c>
      <c r="P158" s="13" t="s">
        <v>38</v>
      </c>
      <c r="Q158" s="12" t="s">
        <v>39</v>
      </c>
      <c r="R158" s="13" t="s">
        <v>40</v>
      </c>
      <c r="S158" s="12" t="s">
        <v>41</v>
      </c>
      <c r="T158" s="21" t="s">
        <v>42</v>
      </c>
      <c r="U158" s="22" t="s">
        <v>43</v>
      </c>
    </row>
    <row r="159" spans="1:21" x14ac:dyDescent="0.3">
      <c r="A159" s="25" t="s">
        <v>50</v>
      </c>
      <c r="B159" s="26">
        <f>B16</f>
        <v>5934.3460154572804</v>
      </c>
      <c r="C159" s="35">
        <f>C16</f>
        <v>6415.0280427093203</v>
      </c>
      <c r="D159" s="35">
        <f>D16</f>
        <v>6539.6493090339236</v>
      </c>
      <c r="E159" s="35">
        <f>E16</f>
        <v>6670.2049213739838</v>
      </c>
      <c r="F159" s="35">
        <f>F16</f>
        <v>6794.8261876985862</v>
      </c>
      <c r="G159" s="35">
        <f>G16</f>
        <v>6907.5787619922739</v>
      </c>
      <c r="H159" s="35">
        <f>H16</f>
        <v>6984.7252601932196</v>
      </c>
      <c r="I159" s="35">
        <f>I16</f>
        <v>7061.8717583941634</v>
      </c>
      <c r="J159" s="35">
        <f>J16</f>
        <v>7139.0182565951091</v>
      </c>
      <c r="K159" s="35">
        <f>K16</f>
        <v>7216.1647547960529</v>
      </c>
      <c r="L159" s="35">
        <f>L16</f>
        <v>7293.3112529969985</v>
      </c>
      <c r="M159" s="35">
        <f>M16</f>
        <v>7370.4577511979423</v>
      </c>
      <c r="N159" s="35">
        <f>N16</f>
        <v>7447.6042493988862</v>
      </c>
      <c r="O159" s="35">
        <f>O16</f>
        <v>7524.7507475998318</v>
      </c>
      <c r="P159" s="35">
        <f>P16</f>
        <v>7601.8972458007756</v>
      </c>
      <c r="Q159" s="35">
        <f>Q16</f>
        <v>7667.1750519708066</v>
      </c>
      <c r="R159" s="35">
        <f>R16</f>
        <v>7714.6498200944643</v>
      </c>
      <c r="S159" s="36">
        <f>S16</f>
        <v>7762.1245882181229</v>
      </c>
      <c r="T159" s="23">
        <f>AVERAGE(G159:J159)</f>
        <v>7023.2985092936924</v>
      </c>
      <c r="U159" s="23">
        <f>T159*12</f>
        <v>84279.582111524302</v>
      </c>
    </row>
    <row r="160" spans="1:21" x14ac:dyDescent="0.3">
      <c r="A160" s="25" t="s">
        <v>51</v>
      </c>
      <c r="B160" s="26">
        <f>SUM(B159*1.04)</f>
        <v>6171.7198560755714</v>
      </c>
      <c r="C160" s="35">
        <f>C35</f>
        <v>6652.4018833276114</v>
      </c>
      <c r="D160" s="35">
        <f>D35</f>
        <v>6777.0231496522147</v>
      </c>
      <c r="E160" s="35">
        <f>E35</f>
        <v>6907.5787619922748</v>
      </c>
      <c r="F160" s="35">
        <f>F35</f>
        <v>7032.2000283168773</v>
      </c>
      <c r="G160" s="35">
        <f>G35</f>
        <v>7144.952602610565</v>
      </c>
      <c r="H160" s="35">
        <f>H35</f>
        <v>7222.0991008115107</v>
      </c>
      <c r="I160" s="35">
        <f>I35</f>
        <v>7299.2455990124545</v>
      </c>
      <c r="J160" s="35">
        <f>J35</f>
        <v>7376.3920972134001</v>
      </c>
      <c r="K160" s="35">
        <f>K35</f>
        <v>7453.5385954143439</v>
      </c>
      <c r="L160" s="35">
        <f>L35</f>
        <v>7530.6850936152896</v>
      </c>
      <c r="M160" s="35">
        <f>M35</f>
        <v>7607.8315918162334</v>
      </c>
      <c r="N160" s="35">
        <f>N35</f>
        <v>7684.9780900171772</v>
      </c>
      <c r="O160" s="35">
        <f>O35</f>
        <v>7762.1245882181229</v>
      </c>
      <c r="P160" s="35">
        <f>P35</f>
        <v>7839.2710864190667</v>
      </c>
      <c r="Q160" s="35">
        <f>Q35</f>
        <v>7904.5488925890977</v>
      </c>
      <c r="R160" s="35">
        <f>R35</f>
        <v>7952.0236607127554</v>
      </c>
      <c r="S160" s="36">
        <f>S35</f>
        <v>7999.498428836414</v>
      </c>
      <c r="T160" s="23">
        <f t="shared" ref="T160:T163" si="115">AVERAGE(G160:J160)</f>
        <v>7260.6723499119826</v>
      </c>
      <c r="U160" s="23">
        <f t="shared" ref="U160:U163" si="116">T160*12</f>
        <v>87128.068198943787</v>
      </c>
    </row>
    <row r="161" spans="1:21" x14ac:dyDescent="0.3">
      <c r="A161" s="25" t="s">
        <v>52</v>
      </c>
      <c r="B161" s="26">
        <f>SUM(B159*1.07)</f>
        <v>6349.7502365392902</v>
      </c>
      <c r="C161" s="35">
        <f>C53</f>
        <v>6830.4322637913301</v>
      </c>
      <c r="D161" s="35">
        <f>D53</f>
        <v>6955.0535301159334</v>
      </c>
      <c r="E161" s="35">
        <f>E53</f>
        <v>7085.6091424559936</v>
      </c>
      <c r="F161" s="35">
        <f>F53</f>
        <v>7210.230408780596</v>
      </c>
      <c r="G161" s="35">
        <f>G53</f>
        <v>7322.9829830742838</v>
      </c>
      <c r="H161" s="35">
        <f>H53</f>
        <v>7400.1294812752294</v>
      </c>
      <c r="I161" s="35">
        <f>I53</f>
        <v>7477.2759794761732</v>
      </c>
      <c r="J161" s="35">
        <f>J53</f>
        <v>7554.4224776771189</v>
      </c>
      <c r="K161" s="35">
        <f>K53</f>
        <v>7631.5689758780627</v>
      </c>
      <c r="L161" s="35">
        <f>L53</f>
        <v>7708.7154740790083</v>
      </c>
      <c r="M161" s="35">
        <f>M53</f>
        <v>7785.8619722799522</v>
      </c>
      <c r="N161" s="35">
        <f>N53</f>
        <v>7863.008470480896</v>
      </c>
      <c r="O161" s="35">
        <f>O53</f>
        <v>7940.1549686818416</v>
      </c>
      <c r="P161" s="35">
        <f>P53</f>
        <v>8017.3014668827855</v>
      </c>
      <c r="Q161" s="35">
        <f>Q53</f>
        <v>8082.5792730528165</v>
      </c>
      <c r="R161" s="35">
        <f>R53</f>
        <v>8130.0540411764741</v>
      </c>
      <c r="S161" s="36">
        <f>S53</f>
        <v>8177.5288093001327</v>
      </c>
      <c r="T161" s="23">
        <f t="shared" si="115"/>
        <v>7438.7027303757013</v>
      </c>
      <c r="U161" s="23">
        <f t="shared" si="116"/>
        <v>89264.432764508412</v>
      </c>
    </row>
    <row r="162" spans="1:21" x14ac:dyDescent="0.3">
      <c r="A162" s="25" t="s">
        <v>53</v>
      </c>
      <c r="B162" s="26">
        <f>SUM(B159*1.12)</f>
        <v>6646.4675373121545</v>
      </c>
      <c r="C162" s="35">
        <f t="shared" ref="C162:S162" si="117">C73</f>
        <v>7127.1495645641935</v>
      </c>
      <c r="D162" s="35">
        <f t="shared" si="117"/>
        <v>7251.7708308887977</v>
      </c>
      <c r="E162" s="35">
        <f t="shared" si="117"/>
        <v>7382.3264432288579</v>
      </c>
      <c r="F162" s="35">
        <f t="shared" si="117"/>
        <v>7506.9477095534603</v>
      </c>
      <c r="G162" s="35">
        <f t="shared" si="117"/>
        <v>7619.7002838471471</v>
      </c>
      <c r="H162" s="35">
        <f t="shared" si="117"/>
        <v>7696.8467820480928</v>
      </c>
      <c r="I162" s="35">
        <f t="shared" si="117"/>
        <v>7773.9932802490366</v>
      </c>
      <c r="J162" s="35">
        <f t="shared" si="117"/>
        <v>7851.1397784499823</v>
      </c>
      <c r="K162" s="35">
        <f t="shared" si="117"/>
        <v>7928.2862766509261</v>
      </c>
      <c r="L162" s="35">
        <f t="shared" si="117"/>
        <v>8005.4327748518717</v>
      </c>
      <c r="M162" s="35">
        <f t="shared" si="117"/>
        <v>8082.5792730528156</v>
      </c>
      <c r="N162" s="35">
        <f t="shared" si="117"/>
        <v>8159.7257712537594</v>
      </c>
      <c r="O162" s="35">
        <f t="shared" si="117"/>
        <v>8236.872269454705</v>
      </c>
      <c r="P162" s="35">
        <f t="shared" si="117"/>
        <v>8314.0187676556488</v>
      </c>
      <c r="Q162" s="35">
        <f t="shared" si="117"/>
        <v>8379.2965738256808</v>
      </c>
      <c r="R162" s="35">
        <f t="shared" si="117"/>
        <v>8426.7713419493375</v>
      </c>
      <c r="S162" s="36">
        <f t="shared" si="117"/>
        <v>8474.2461100729961</v>
      </c>
      <c r="T162" s="23">
        <f t="shared" si="115"/>
        <v>7735.4200311485647</v>
      </c>
      <c r="U162" s="23">
        <f t="shared" si="116"/>
        <v>92825.040373782773</v>
      </c>
    </row>
    <row r="163" spans="1:21" x14ac:dyDescent="0.3">
      <c r="A163" s="27" t="s">
        <v>54</v>
      </c>
      <c r="B163" s="28">
        <f>SUM(B159*1.16)</f>
        <v>6883.8413779304447</v>
      </c>
      <c r="C163" s="37">
        <f>C91</f>
        <v>7364.5234051824855</v>
      </c>
      <c r="D163" s="37">
        <f t="shared" ref="D163:S163" si="118">D91</f>
        <v>7489.1446715070888</v>
      </c>
      <c r="E163" s="37">
        <f t="shared" si="118"/>
        <v>7619.700283847149</v>
      </c>
      <c r="F163" s="37">
        <f t="shared" si="118"/>
        <v>7744.3215501717514</v>
      </c>
      <c r="G163" s="37">
        <f t="shared" si="118"/>
        <v>7857.0741244654391</v>
      </c>
      <c r="H163" s="37">
        <f t="shared" si="118"/>
        <v>7934.2206226663848</v>
      </c>
      <c r="I163" s="37">
        <f t="shared" si="118"/>
        <v>8011.3671208673286</v>
      </c>
      <c r="J163" s="37">
        <f t="shared" si="118"/>
        <v>8088.5136190682742</v>
      </c>
      <c r="K163" s="37">
        <f t="shared" si="118"/>
        <v>8165.6601172692181</v>
      </c>
      <c r="L163" s="37">
        <f t="shared" si="118"/>
        <v>8242.8066154701628</v>
      </c>
      <c r="M163" s="37">
        <f t="shared" si="118"/>
        <v>8319.9531136711066</v>
      </c>
      <c r="N163" s="37">
        <f t="shared" si="118"/>
        <v>8397.0996118720504</v>
      </c>
      <c r="O163" s="37">
        <f t="shared" si="118"/>
        <v>8474.2461100729961</v>
      </c>
      <c r="P163" s="37">
        <f t="shared" si="118"/>
        <v>8551.3926082739399</v>
      </c>
      <c r="Q163" s="37">
        <f t="shared" si="118"/>
        <v>8616.6704144439718</v>
      </c>
      <c r="R163" s="37">
        <f t="shared" si="118"/>
        <v>8664.1451825676286</v>
      </c>
      <c r="S163" s="38">
        <f t="shared" si="118"/>
        <v>8711.6199506912872</v>
      </c>
      <c r="T163" s="24">
        <f t="shared" si="115"/>
        <v>7972.7938717668567</v>
      </c>
      <c r="U163" s="24">
        <f t="shared" si="116"/>
        <v>95673.526461202273</v>
      </c>
    </row>
    <row r="164" spans="1:21" x14ac:dyDescent="0.3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</row>
    <row r="165" spans="1:21" ht="14.4" thickBot="1" x14ac:dyDescent="0.35">
      <c r="A165" s="6" t="s">
        <v>62</v>
      </c>
      <c r="B165" s="6"/>
      <c r="C165" s="29"/>
      <c r="D165" s="29"/>
      <c r="E165" s="29"/>
      <c r="F165" s="29"/>
      <c r="G165" s="29" t="s">
        <v>63</v>
      </c>
    </row>
    <row r="166" spans="1:21" x14ac:dyDescent="0.3">
      <c r="C166" s="18"/>
      <c r="D166" s="18"/>
      <c r="E166" s="18"/>
      <c r="F166" s="18"/>
      <c r="G166" s="18"/>
      <c r="T166" s="39" t="s">
        <v>7</v>
      </c>
      <c r="U166" s="40"/>
    </row>
    <row r="167" spans="1:21" ht="12.75" customHeight="1" x14ac:dyDescent="0.3">
      <c r="A167" s="45" t="s">
        <v>4</v>
      </c>
      <c r="B167" s="45" t="s">
        <v>5</v>
      </c>
      <c r="C167" s="48" t="s">
        <v>6</v>
      </c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50"/>
      <c r="T167" s="41"/>
      <c r="U167" s="42"/>
    </row>
    <row r="168" spans="1:21" ht="14.4" thickBot="1" x14ac:dyDescent="0.35">
      <c r="A168" s="46"/>
      <c r="B168" s="46"/>
      <c r="C168" s="10" t="s">
        <v>8</v>
      </c>
      <c r="D168" s="11" t="s">
        <v>9</v>
      </c>
      <c r="E168" s="10" t="s">
        <v>10</v>
      </c>
      <c r="F168" s="11" t="s">
        <v>11</v>
      </c>
      <c r="G168" s="10" t="s">
        <v>12</v>
      </c>
      <c r="H168" s="11" t="s">
        <v>13</v>
      </c>
      <c r="I168" s="10" t="s">
        <v>14</v>
      </c>
      <c r="J168" s="11" t="s">
        <v>15</v>
      </c>
      <c r="K168" s="10" t="s">
        <v>16</v>
      </c>
      <c r="L168" s="11" t="s">
        <v>17</v>
      </c>
      <c r="M168" s="10" t="s">
        <v>18</v>
      </c>
      <c r="N168" s="11" t="s">
        <v>19</v>
      </c>
      <c r="O168" s="10" t="s">
        <v>20</v>
      </c>
      <c r="P168" s="11" t="s">
        <v>21</v>
      </c>
      <c r="Q168" s="10" t="s">
        <v>22</v>
      </c>
      <c r="R168" s="11" t="s">
        <v>23</v>
      </c>
      <c r="S168" s="10" t="s">
        <v>24</v>
      </c>
      <c r="T168" s="43"/>
      <c r="U168" s="44"/>
    </row>
    <row r="169" spans="1:21" ht="55.2" x14ac:dyDescent="0.3">
      <c r="A169" s="47"/>
      <c r="B169" s="47"/>
      <c r="C169" s="12" t="s">
        <v>25</v>
      </c>
      <c r="D169" s="13" t="s">
        <v>26</v>
      </c>
      <c r="E169" s="12" t="s">
        <v>27</v>
      </c>
      <c r="F169" s="13" t="s">
        <v>28</v>
      </c>
      <c r="G169" s="12" t="s">
        <v>29</v>
      </c>
      <c r="H169" s="13" t="s">
        <v>30</v>
      </c>
      <c r="I169" s="12" t="s">
        <v>31</v>
      </c>
      <c r="J169" s="13" t="s">
        <v>32</v>
      </c>
      <c r="K169" s="12" t="s">
        <v>33</v>
      </c>
      <c r="L169" s="13" t="s">
        <v>34</v>
      </c>
      <c r="M169" s="12" t="s">
        <v>35</v>
      </c>
      <c r="N169" s="13" t="s">
        <v>36</v>
      </c>
      <c r="O169" s="12" t="s">
        <v>37</v>
      </c>
      <c r="P169" s="13" t="s">
        <v>38</v>
      </c>
      <c r="Q169" s="12" t="s">
        <v>39</v>
      </c>
      <c r="R169" s="13" t="s">
        <v>40</v>
      </c>
      <c r="S169" s="12" t="s">
        <v>41</v>
      </c>
      <c r="T169" s="21" t="s">
        <v>42</v>
      </c>
      <c r="U169" s="22" t="s">
        <v>43</v>
      </c>
    </row>
    <row r="170" spans="1:21" x14ac:dyDescent="0.3">
      <c r="A170" s="25" t="s">
        <v>50</v>
      </c>
      <c r="B170" s="26">
        <f>B17</f>
        <v>6281.5636740904956</v>
      </c>
      <c r="C170" s="35">
        <f>SUM(C17)</f>
        <v>6790.3703316918254</v>
      </c>
      <c r="D170" s="35">
        <f>SUM(D17)</f>
        <v>6922.2831688477263</v>
      </c>
      <c r="E170" s="35">
        <f>SUM(E17)</f>
        <v>7060.4775696777178</v>
      </c>
      <c r="F170" s="35">
        <f>SUM(F17)</f>
        <v>7192.3904068336178</v>
      </c>
      <c r="G170" s="35">
        <f>SUM(G17)</f>
        <v>7311.7401166413365</v>
      </c>
      <c r="H170" s="35">
        <f>SUM(H17)</f>
        <v>7393.400444404514</v>
      </c>
      <c r="I170" s="35">
        <f>SUM(I17)</f>
        <v>7475.0607721676897</v>
      </c>
      <c r="J170" s="35">
        <f>SUM(J17)</f>
        <v>7556.7210999308663</v>
      </c>
      <c r="K170" s="35">
        <f>SUM(K17)</f>
        <v>7638.3814276940429</v>
      </c>
      <c r="L170" s="35">
        <f>SUM(L17)</f>
        <v>7720.0417554572196</v>
      </c>
      <c r="M170" s="35">
        <f>SUM(M17)</f>
        <v>7801.7020832203953</v>
      </c>
      <c r="N170" s="35">
        <f>SUM(N17)</f>
        <v>7883.362410983571</v>
      </c>
      <c r="O170" s="35">
        <f>SUM(O17)</f>
        <v>7965.0227387467485</v>
      </c>
      <c r="P170" s="35">
        <f>SUM(P17)</f>
        <v>8046.6830665099242</v>
      </c>
      <c r="Q170" s="35">
        <f>SUM(Q17)</f>
        <v>8115.7802669249204</v>
      </c>
      <c r="R170" s="35">
        <f>SUM(R17)</f>
        <v>8166.0327763176447</v>
      </c>
      <c r="S170" s="36">
        <f>SUM(S17)</f>
        <v>8216.285285710368</v>
      </c>
      <c r="T170" s="23">
        <f>AVERAGE(G170:J170)</f>
        <v>7434.2306082861014</v>
      </c>
      <c r="U170" s="23">
        <f>T170*12</f>
        <v>89210.76729943321</v>
      </c>
    </row>
    <row r="171" spans="1:21" x14ac:dyDescent="0.3">
      <c r="A171" s="25" t="s">
        <v>51</v>
      </c>
      <c r="B171" s="26">
        <f>SUM(B170*1.04)</f>
        <v>6532.8262210541161</v>
      </c>
      <c r="C171" s="35">
        <f>SUM(C36)</f>
        <v>7041.632878655445</v>
      </c>
      <c r="D171" s="35">
        <f>SUM(D36)</f>
        <v>7173.5457158113459</v>
      </c>
      <c r="E171" s="35">
        <f>SUM(E36)</f>
        <v>7311.7401166413374</v>
      </c>
      <c r="F171" s="35">
        <f>SUM(F36)</f>
        <v>7443.6529537972374</v>
      </c>
      <c r="G171" s="35">
        <f>SUM(G36)</f>
        <v>7563.0026636049561</v>
      </c>
      <c r="H171" s="35">
        <f>SUM(H36)</f>
        <v>7644.6629913681336</v>
      </c>
      <c r="I171" s="35">
        <f>SUM(I36)</f>
        <v>7726.3233191313093</v>
      </c>
      <c r="J171" s="35">
        <f>SUM(J36)</f>
        <v>7807.9836468944859</v>
      </c>
      <c r="K171" s="35">
        <f>SUM(K36)</f>
        <v>7889.6439746576625</v>
      </c>
      <c r="L171" s="35">
        <f>SUM(L36)</f>
        <v>7971.3043024208391</v>
      </c>
      <c r="M171" s="35">
        <f>SUM(M36)</f>
        <v>8052.9646301840148</v>
      </c>
      <c r="N171" s="35">
        <f>SUM(N36)</f>
        <v>8134.6249579471905</v>
      </c>
      <c r="O171" s="35">
        <f>SUM(O36)</f>
        <v>8216.285285710368</v>
      </c>
      <c r="P171" s="35">
        <f>SUM(P36)</f>
        <v>8297.9456134735447</v>
      </c>
      <c r="Q171" s="35">
        <f>SUM(Q36)</f>
        <v>8367.04281388854</v>
      </c>
      <c r="R171" s="35">
        <f>SUM(R36)</f>
        <v>8417.2953232812652</v>
      </c>
      <c r="S171" s="36">
        <f>SUM(S36)</f>
        <v>8467.5478326739885</v>
      </c>
      <c r="T171" s="23">
        <f t="shared" ref="T171:T174" si="119">AVERAGE(G171:J171)</f>
        <v>7685.493155249721</v>
      </c>
      <c r="U171" s="23">
        <f t="shared" ref="U171:U174" si="120">T171*12</f>
        <v>92225.917862996648</v>
      </c>
    </row>
    <row r="172" spans="1:21" x14ac:dyDescent="0.3">
      <c r="A172" s="25" t="s">
        <v>52</v>
      </c>
      <c r="B172" s="26">
        <f>SUM(B170*1.07)</f>
        <v>6721.273131276831</v>
      </c>
      <c r="C172" s="35">
        <f>SUM(C54)</f>
        <v>7230.0797888781599</v>
      </c>
      <c r="D172" s="35">
        <f>SUM(D54)</f>
        <v>7361.9926260340608</v>
      </c>
      <c r="E172" s="35">
        <f>SUM(E54)</f>
        <v>7500.1870268640523</v>
      </c>
      <c r="F172" s="35">
        <f>SUM(F54)</f>
        <v>7632.0998640199523</v>
      </c>
      <c r="G172" s="35">
        <f>SUM(G54)</f>
        <v>7751.449573827671</v>
      </c>
      <c r="H172" s="35">
        <f>SUM(H54)</f>
        <v>7833.1099015908485</v>
      </c>
      <c r="I172" s="35">
        <f>SUM(I54)</f>
        <v>7914.7702293540242</v>
      </c>
      <c r="J172" s="35">
        <f>SUM(J54)</f>
        <v>7996.4305571172008</v>
      </c>
      <c r="K172" s="35">
        <f>SUM(K54)</f>
        <v>8078.0908848803774</v>
      </c>
      <c r="L172" s="35">
        <f>SUM(L54)</f>
        <v>8159.751212643554</v>
      </c>
      <c r="M172" s="35">
        <f>SUM(M54)</f>
        <v>8241.4115404067306</v>
      </c>
      <c r="N172" s="35">
        <f>SUM(N54)</f>
        <v>8323.0718681699054</v>
      </c>
      <c r="O172" s="35">
        <f>SUM(O54)</f>
        <v>8404.7321959330839</v>
      </c>
      <c r="P172" s="35">
        <f>SUM(P54)</f>
        <v>8486.3925236962586</v>
      </c>
      <c r="Q172" s="35">
        <f>SUM(Q54)</f>
        <v>8555.4897241112558</v>
      </c>
      <c r="R172" s="35">
        <f>SUM(R54)</f>
        <v>8605.7422335039792</v>
      </c>
      <c r="S172" s="36">
        <f>SUM(S54)</f>
        <v>8655.9947428967025</v>
      </c>
      <c r="T172" s="23">
        <f t="shared" si="119"/>
        <v>7873.9400654724359</v>
      </c>
      <c r="U172" s="23">
        <f t="shared" si="120"/>
        <v>94487.280785669223</v>
      </c>
    </row>
    <row r="173" spans="1:21" x14ac:dyDescent="0.3">
      <c r="A173" s="25" t="s">
        <v>53</v>
      </c>
      <c r="B173" s="26">
        <f>SUM(B170*1.12)</f>
        <v>7035.3513149813562</v>
      </c>
      <c r="C173" s="35">
        <f t="shared" ref="C173:S173" si="121">SUM(C74)</f>
        <v>7544.157972582685</v>
      </c>
      <c r="D173" s="35">
        <f t="shared" si="121"/>
        <v>7676.0708097385859</v>
      </c>
      <c r="E173" s="35">
        <f t="shared" si="121"/>
        <v>7814.2652105685775</v>
      </c>
      <c r="F173" s="35">
        <f t="shared" si="121"/>
        <v>7946.1780477244774</v>
      </c>
      <c r="G173" s="35">
        <f t="shared" si="121"/>
        <v>8065.5277575321961</v>
      </c>
      <c r="H173" s="35">
        <f t="shared" si="121"/>
        <v>8147.1880852953736</v>
      </c>
      <c r="I173" s="35">
        <f t="shared" si="121"/>
        <v>8228.8484130585493</v>
      </c>
      <c r="J173" s="35">
        <f t="shared" si="121"/>
        <v>8310.508740821726</v>
      </c>
      <c r="K173" s="35">
        <f t="shared" si="121"/>
        <v>8392.1690685849026</v>
      </c>
      <c r="L173" s="35">
        <f t="shared" si="121"/>
        <v>8473.8293963480792</v>
      </c>
      <c r="M173" s="35">
        <f t="shared" si="121"/>
        <v>8555.489724111254</v>
      </c>
      <c r="N173" s="35">
        <f t="shared" si="121"/>
        <v>8637.1500518744306</v>
      </c>
      <c r="O173" s="35">
        <f t="shared" si="121"/>
        <v>8718.8103796376072</v>
      </c>
      <c r="P173" s="35">
        <f t="shared" si="121"/>
        <v>8800.4707074007838</v>
      </c>
      <c r="Q173" s="35">
        <f t="shared" si="121"/>
        <v>8869.5679078157791</v>
      </c>
      <c r="R173" s="35">
        <f t="shared" si="121"/>
        <v>8919.8204172085043</v>
      </c>
      <c r="S173" s="36">
        <f t="shared" si="121"/>
        <v>8970.0729266012277</v>
      </c>
      <c r="T173" s="23">
        <f t="shared" si="119"/>
        <v>8188.018249176961</v>
      </c>
      <c r="U173" s="23">
        <f t="shared" si="120"/>
        <v>98256.21899012354</v>
      </c>
    </row>
    <row r="174" spans="1:21" x14ac:dyDescent="0.3">
      <c r="A174" s="27" t="s">
        <v>54</v>
      </c>
      <c r="B174" s="28">
        <f>SUM(B170*1.16)</f>
        <v>7286.6138619449748</v>
      </c>
      <c r="C174" s="37">
        <f>SUM(C92)</f>
        <v>7795.4205195463046</v>
      </c>
      <c r="D174" s="37">
        <f t="shared" ref="D174:S174" si="122">SUM(D92)</f>
        <v>7927.3333567022055</v>
      </c>
      <c r="E174" s="37">
        <f t="shared" si="122"/>
        <v>8065.527757532197</v>
      </c>
      <c r="F174" s="37">
        <f t="shared" si="122"/>
        <v>8197.4405946880979</v>
      </c>
      <c r="G174" s="37">
        <f t="shared" si="122"/>
        <v>8316.7903044958166</v>
      </c>
      <c r="H174" s="37">
        <f t="shared" si="122"/>
        <v>8398.4506322589932</v>
      </c>
      <c r="I174" s="37">
        <f t="shared" si="122"/>
        <v>8480.1109600221698</v>
      </c>
      <c r="J174" s="37">
        <f t="shared" si="122"/>
        <v>8561.7712877853464</v>
      </c>
      <c r="K174" s="37">
        <f t="shared" si="122"/>
        <v>8643.431615548523</v>
      </c>
      <c r="L174" s="37">
        <f t="shared" si="122"/>
        <v>8725.0919433116997</v>
      </c>
      <c r="M174" s="37">
        <f t="shared" si="122"/>
        <v>8806.7522710748744</v>
      </c>
      <c r="N174" s="37">
        <f t="shared" si="122"/>
        <v>8888.4125988380511</v>
      </c>
      <c r="O174" s="37">
        <f t="shared" si="122"/>
        <v>8970.0729266012277</v>
      </c>
      <c r="P174" s="37">
        <f t="shared" si="122"/>
        <v>9051.7332543644043</v>
      </c>
      <c r="Q174" s="37">
        <f t="shared" si="122"/>
        <v>9120.8304547793996</v>
      </c>
      <c r="R174" s="37">
        <f t="shared" si="122"/>
        <v>9171.0829641721248</v>
      </c>
      <c r="S174" s="38">
        <f t="shared" si="122"/>
        <v>9221.3354735648481</v>
      </c>
      <c r="T174" s="24">
        <f t="shared" si="119"/>
        <v>8439.2807961405815</v>
      </c>
      <c r="U174" s="24">
        <f t="shared" si="120"/>
        <v>101271.36955368698</v>
      </c>
    </row>
  </sheetData>
  <mergeCells count="53">
    <mergeCell ref="T42:U44"/>
    <mergeCell ref="A43:A45"/>
    <mergeCell ref="B43:B45"/>
    <mergeCell ref="C43:S43"/>
    <mergeCell ref="A1:F1"/>
    <mergeCell ref="G1:L1"/>
    <mergeCell ref="G2:L2"/>
    <mergeCell ref="A6:A8"/>
    <mergeCell ref="B6:B8"/>
    <mergeCell ref="C6:S6"/>
    <mergeCell ref="T6:U7"/>
    <mergeCell ref="T24:U26"/>
    <mergeCell ref="A25:A27"/>
    <mergeCell ref="B25:B27"/>
    <mergeCell ref="C25:S25"/>
    <mergeCell ref="T111:U113"/>
    <mergeCell ref="A112:A114"/>
    <mergeCell ref="B112:B114"/>
    <mergeCell ref="C112:S112"/>
    <mergeCell ref="A59:E59"/>
    <mergeCell ref="T62:U64"/>
    <mergeCell ref="A63:A65"/>
    <mergeCell ref="B63:B65"/>
    <mergeCell ref="C63:S63"/>
    <mergeCell ref="T80:U82"/>
    <mergeCell ref="A81:A83"/>
    <mergeCell ref="B81:B83"/>
    <mergeCell ref="C81:S81"/>
    <mergeCell ref="A97:E97"/>
    <mergeCell ref="T100:U102"/>
    <mergeCell ref="A101:A103"/>
    <mergeCell ref="B101:B103"/>
    <mergeCell ref="C101:S101"/>
    <mergeCell ref="T122:U124"/>
    <mergeCell ref="A123:A125"/>
    <mergeCell ref="B123:B125"/>
    <mergeCell ref="C123:S123"/>
    <mergeCell ref="T133:U135"/>
    <mergeCell ref="A134:A136"/>
    <mergeCell ref="B134:B136"/>
    <mergeCell ref="C134:S134"/>
    <mergeCell ref="T166:U168"/>
    <mergeCell ref="A167:A169"/>
    <mergeCell ref="B167:B169"/>
    <mergeCell ref="C167:S167"/>
    <mergeCell ref="T144:U146"/>
    <mergeCell ref="A145:A147"/>
    <mergeCell ref="B145:B147"/>
    <mergeCell ref="C145:S145"/>
    <mergeCell ref="T155:U157"/>
    <mergeCell ref="A156:A158"/>
    <mergeCell ref="B156:B158"/>
    <mergeCell ref="C156:S156"/>
  </mergeCells>
  <pageMargins left="0.7" right="0.7" top="0.75" bottom="0.75" header="0.3" footer="0.3"/>
  <pageSetup paperSize="9" scale="45" orientation="landscape" r:id="rId1"/>
  <rowBreaks count="2" manualBreakCount="2">
    <brk id="58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Sarkala Satu (SY)</dc:creator>
  <cp:lastModifiedBy>Sarkala Satu (SY)</cp:lastModifiedBy>
  <cp:lastPrinted>2026-06-10T05:15:02Z</cp:lastPrinted>
  <dcterms:created xsi:type="dcterms:W3CDTF">2025-06-04T07:50:57Z</dcterms:created>
  <dcterms:modified xsi:type="dcterms:W3CDTF">2026-06-10T05:16:18Z</dcterms:modified>
</cp:coreProperties>
</file>